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1595" activeTab="0"/>
  </bookViews>
  <sheets>
    <sheet name="przedsiewzięcia" sheetId="1" r:id="rId1"/>
  </sheets>
  <definedNames>
    <definedName name="_xlnm.Print_Area" localSheetId="0">'przedsiewzięcia'!$A$1:$M$236</definedName>
  </definedNames>
  <calcPr fullCalcOnLoad="1"/>
</workbook>
</file>

<file path=xl/sharedStrings.xml><?xml version="1.0" encoding="utf-8"?>
<sst xmlns="http://schemas.openxmlformats.org/spreadsheetml/2006/main" count="379" uniqueCount="128">
  <si>
    <t>Nazwa i cel</t>
  </si>
  <si>
    <t>Łączne nakłady finansowe</t>
  </si>
  <si>
    <t>Jednostka odpowiedzialna lub koordynująca</t>
  </si>
  <si>
    <t>Zarząd Dróg</t>
  </si>
  <si>
    <t>Miejskich</t>
  </si>
  <si>
    <t>- przebudowa ul. Libana</t>
  </si>
  <si>
    <t xml:space="preserve">Zarząd </t>
  </si>
  <si>
    <t>Gospodarki</t>
  </si>
  <si>
    <t>Mieszkaniowej</t>
  </si>
  <si>
    <t>w tym:</t>
  </si>
  <si>
    <t>Rady Miejskiej Legnicy</t>
  </si>
  <si>
    <t>od</t>
  </si>
  <si>
    <t>do</t>
  </si>
  <si>
    <t xml:space="preserve">Miejski </t>
  </si>
  <si>
    <t xml:space="preserve">Ośrodek </t>
  </si>
  <si>
    <t>Pomocy</t>
  </si>
  <si>
    <t>Społecznej</t>
  </si>
  <si>
    <t>Regionalny Program Operacyjny dla Województwa Dolnośląskiego na lata 2007 – 2013</t>
  </si>
  <si>
    <t>Cel: Czynna ochrona przyrody prowadząca do ograniczenia degradacji środowiska oraz strat zasobów różnorodności biologicznej, zgodnie z Polityką Ekologiczną Państwa oraz Krajową Strategią Ochrony i Umiarkowanego Użytkowania Różnorodności Biologicznej</t>
  </si>
  <si>
    <t>Okres realizacji</t>
  </si>
  <si>
    <t>Przedsięwzięcia ogółem</t>
  </si>
  <si>
    <t>- wydatki bieżące</t>
  </si>
  <si>
    <t>- wydatki majątkowe</t>
  </si>
  <si>
    <t>Cel: Standaryzacja bazy materialnej obiektów oświatowych - obiekty sportowe, dydaktyczne.</t>
  </si>
  <si>
    <t>Cel: Ochrona zabytków i rewitalizacja istniejących obiektów - placówek kultury, turystyki i sportu.</t>
  </si>
  <si>
    <t>Cel: Poprawa jakości obsługi mieszkańców, budowa podstaw społeczeństwa infomacyjnego i modernizacja bazy lokalowej Urzędu Miasta Legnica.</t>
  </si>
  <si>
    <t>Cel: Ratowanie i odzyskiwanie dla mieszkańców zdegradowanych i zagrożonych zniszczeniem obszarów miasta, w tym cennych z uwagi na walory architektoniczne oraz kreowanie wizerunku miasta.</t>
  </si>
  <si>
    <t>1) programy, projekty lub zadania (razem)</t>
  </si>
  <si>
    <t>Odnowa zdegradowanych obszarów miejskich w rejonie ul. H. Pobożnego</t>
  </si>
  <si>
    <t>- renowacja części wspólnych wielorodzinnych budynków mieszkalnych</t>
  </si>
  <si>
    <t>- przebudowa infrastruktury przestrzeni publicznej ul. Libana</t>
  </si>
  <si>
    <t>Południowo-Zachodni Szlak Cysterski, w tym:</t>
  </si>
  <si>
    <t>Program Ochrona Przyrody</t>
  </si>
  <si>
    <t>2010</t>
  </si>
  <si>
    <t>2011</t>
  </si>
  <si>
    <t>Cel: Odnowa zdegradowanych obszarów miejskich w miastach województwa dolnośląskiego liczących powyżej 10 tysięcy mieszkańców</t>
  </si>
  <si>
    <t>z tego zadania:</t>
  </si>
  <si>
    <t>z tego zadanie:</t>
  </si>
  <si>
    <t>Budowa Zbiorczej Drogi Południowej w Legnicy</t>
  </si>
  <si>
    <t>Wykorzystaj szansę, zdobądź zatrudnienie</t>
  </si>
  <si>
    <t>Cel: Modernizacja układu komunikacyjnego w celu usprawnienia ruchu kołowego i bezpieczeństwa w mieście oraz polepszenia jakości funkcjonowania systemu transportu publicznego.</t>
  </si>
  <si>
    <t>-  II Etap V Dywizji Piechoty</t>
  </si>
  <si>
    <t>Remont i rewaloryzacja Akademii Rycerskiej ul. Chojnowska 2 w Legnicy</t>
  </si>
  <si>
    <t>Rozbudowa Stadionu Sportowego im. Orła Białego</t>
  </si>
  <si>
    <t>Urząd</t>
  </si>
  <si>
    <t xml:space="preserve">Miasta </t>
  </si>
  <si>
    <t>Legnicy</t>
  </si>
  <si>
    <t>Przygotowanie dokumentacji dla terenów produkcyjno-usługowych w Legnicy</t>
  </si>
  <si>
    <t>- przebudowa parkingów w rejonie Zamku Piastowskiego</t>
  </si>
  <si>
    <t>Etap I od ul. Lubińskiej do Szczytnickiej</t>
  </si>
  <si>
    <t>(w tym doposażenie  w sprzęt komputerowy)</t>
  </si>
  <si>
    <t>Cel: Wsparcie inwestycji dla stworzenia konkurencyjnych i innowacyjnych produktów turystycznych o charakterze unikatowym i ponadregionalnym, przy jednoczesnym zachowaniu chłonności terenów turystycznych i ich pojemności turystycznej</t>
  </si>
  <si>
    <t>Program z zakresu komunikacji i transportu.</t>
  </si>
  <si>
    <t>Program z zakresu oświaty.</t>
  </si>
  <si>
    <t>Program z zakresu kultury, turystyki i sportu.</t>
  </si>
  <si>
    <t>Program z zakresu budownictwa komunalnego i infrastruktury komunalnej.</t>
  </si>
  <si>
    <t>Program z zakresu usprawnienia obsługi mieszkańców.</t>
  </si>
  <si>
    <t>Program z zakresu rewitalizacji zdegradowanych obszarów miasta.</t>
  </si>
  <si>
    <t>- Etap II od ul. Wojska Polskiego do al. Rzeczypospolitej z budową mostu na rzece Kaczawie</t>
  </si>
  <si>
    <t xml:space="preserve">Przebudowa ulic: Bydgoskiej (od Lubińskiej do Szczytnickiej) i Szczytnickiej, </t>
  </si>
  <si>
    <t>a) programy, projekty lub zadania związane z programami realizowanymi z udziałem środków, o których mowa w art. 5 ust. 1 pkt 2 i 3, (razem)</t>
  </si>
  <si>
    <t>c) programy, projekty lub zadania pozostałe (inne niż wymienione w lit. a i b) (razem)</t>
  </si>
  <si>
    <t>b) programy, projekty lub zadania związane z umowami partnerstwa publicznoprywatnego (razem)</t>
  </si>
  <si>
    <t xml:space="preserve">  - 2 -</t>
  </si>
  <si>
    <t xml:space="preserve">  - 3 -</t>
  </si>
  <si>
    <t>3) gwarancje i poręczenia udzielane przez jednostki samorządu terytorialnego (razem)</t>
  </si>
  <si>
    <t>2) umowy, których realizacja w roku budżetowym i w latach następnych jest niezbędna dla zapewnienia ciągłości działania jednostki i których płatności przypadają w okresie dłuższym niż rok</t>
  </si>
  <si>
    <t>Cel: Poprawa bazy mieszkaniowej w mieście, uzbrojenie terenów inwestycyjnych w sieci wodno-kanalizacyjne, budowa dróg, oświetlenia, cmentarza komunalnego.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</si>
  <si>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</si>
  <si>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</si>
  <si>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</si>
  <si>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</si>
  <si>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</si>
  <si>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</si>
  <si>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</si>
  <si>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Program Operacyjny Innowacyjna Gospodarka, 2007-2013</t>
  </si>
  <si>
    <t>Limit zobowiazań</t>
  </si>
  <si>
    <t>Wykaz przedsięwzięć do Wieloletniej Prognozy Finansowej miasta Legnicy</t>
  </si>
  <si>
    <t>0,00</t>
  </si>
  <si>
    <t>- zadania sieciowe realizowane przez Lidera projektu</t>
  </si>
  <si>
    <t>Wał rzeki Kaczawy (Kartuska) m. Legnica</t>
  </si>
  <si>
    <t>Program z zakresu bezpieczeństwa i ochrony ludności.</t>
  </si>
  <si>
    <t>Cel: Usprawnienie i skoordynowanie działań w zakresie ratownictwa i sytuacji kryzysowych w mieście.</t>
  </si>
  <si>
    <t>Rewitalizacja Parku Miejskiego w Legnicy</t>
  </si>
  <si>
    <t>Legnica, wieża św. Jadwigi (XIII/XV w.): renowacja wieży</t>
  </si>
  <si>
    <t>Cel: Wyrównywanie szans edukacyjnych poprzez indywidualizację procesu kształcenia i wychowania dzieci w klasach I-III w 12 legnickich szkołach podstawowych</t>
  </si>
  <si>
    <t>Dobry start w szkole</t>
  </si>
  <si>
    <t>Program Operacyjny Kapitał Ludzki 2007 – 2013</t>
  </si>
  <si>
    <t>Cel: Aktywizacja społeczna, zawodowa i edukacyjna 90 osób (49 kobiet i 41 mężczyzn) zagrożonych wykluczeniem społecznym z terenu miasta Legnicy</t>
  </si>
  <si>
    <t>Cel: Ułatwienie przedsiębiorcom na terenie całego kraju dostępu do kompleksowych, wysokiej jakości usług w zakresie internacjonalizacji działalności gospodarczej oraz zwiększenie poziomu inwestycji  poprzez zwiększenie atrakcyjności lokalizacji dla projektów inwestycyjnych</t>
  </si>
  <si>
    <t>Załącznik nr 2</t>
  </si>
  <si>
    <t>Przełożenie ujściowego odcinka rowu K-11 powyżej obwodnicy m. Legnica</t>
  </si>
  <si>
    <t>- przebudowa ulicy Libana</t>
  </si>
  <si>
    <t>-  przebudowa ul. Dąbrówki</t>
  </si>
  <si>
    <t xml:space="preserve">Cel: Aktywizacja społeczna, zawodowa i edukacyjna 60 osób – bezrobotnych, nieaktywnych zawodowo i zatrudnionych, zagrożonych wykluczeniem społecznym mieszkańców obszaru rewitalizowanego H. Pobożnego w Legnicy w okresie od 01.10.2011 r. do 31.10.2012 r.
</t>
  </si>
  <si>
    <t>Siłę mam dzięki wam, ale radzę sobie sam - pilotażowy program rewitalizacji społecznej Obszaru Wsparcia w Legnicy</t>
  </si>
  <si>
    <t>Przebudowa drogi krajowej nr 94 w Legnicy. Etap I - ul. Chojnowska od granic miasta do ul. Jagiellońskiej</t>
  </si>
  <si>
    <t>Budowa zintegrowanego systemu zarządzania ruchem i transportem publicznym w mieście Legnica</t>
  </si>
  <si>
    <t>Budowa ulic Boiskowej i Myśliwskiej wraz z uzbrojeniem i przebudową  ul. Jaworzyńskiej w celu uzbrojenia terenów</t>
  </si>
  <si>
    <t>ulica Wandy, ulica Dąbrówki  i V Dywizji Piechoty</t>
  </si>
  <si>
    <t xml:space="preserve">Przebudowa ulic gruntowych na Osiedlu Piekary Wielkie w powiązaniu z drogą krajową 94 - w tym ulica Ziemowita, </t>
  </si>
  <si>
    <t>Przebudowa ulic: Moniuszki, Rzeczypospolitej, Zamiejskiej, Nowodworskiej (do ul. Jaworzyńskiej) - Trasa nr 5</t>
  </si>
  <si>
    <t>Zespół Szkół Elektryczno- Mechanicznych ul. Skarbka 4 - rewitalizacja elewacji i dachu budynku szkolnego</t>
  </si>
  <si>
    <t>Modernizacja bazy sportowej dla potrzeb dzieci i młodzieży przy Stadionie im. Orła Białego w Legnicy</t>
  </si>
  <si>
    <t>Przebudowa nawierzchni ciągów pieszych z wydzieleniem ścieżek rowerowych w Parku Miejskim</t>
  </si>
  <si>
    <t>Budowa i modernizacja monitoringu wizyjnego zwiększającego bezpieczeństwo turystów w Legnicy</t>
  </si>
  <si>
    <t>ogrodzenie, aleje główne i boczne</t>
  </si>
  <si>
    <t xml:space="preserve">Budowa cmentarza komunalnego - I etap: droga dojazdowa, Krematorium, Dom Pogrzebowy, parkingi, 32 kwatery, </t>
  </si>
  <si>
    <t/>
  </si>
  <si>
    <t>Uzbrojenie terenów inwestycyjnych pod budownictwo mieszkaniowe - sieci i drogi na Osiedlu Piekary Jednostka "B"</t>
  </si>
  <si>
    <t xml:space="preserve">Wniesienie wkładu finansowego do Towarzystwa Budownictwa Społecznego "TBS" Sp. z o.o.w Kamienej Górze </t>
  </si>
  <si>
    <t>z przeznaczeniem na finansowanie adaptacji budynku pokoszarowego "A" w Legnicy w zespole budynków</t>
  </si>
  <si>
    <t xml:space="preserve">Informatyzacja Urzędu Miasta - zakup i wdrożenie systemów wspomagających zarządzanie Miastem </t>
  </si>
  <si>
    <t>(w tym m.in. integracja rozwiązań z zakresu mapy numerycznej z pozostałymi bazami danych  i rejestrami UM)</t>
  </si>
  <si>
    <t xml:space="preserve">oraz rozbudowa infrastruktury teleinformatycznej  w celu upowszechnienia elektronicznego dostępu do UM </t>
  </si>
  <si>
    <t>Sieci Radiowej</t>
  </si>
  <si>
    <t xml:space="preserve">Budowa Miejskiej Szerokopasmowej i Bezpiecznej Sieci Teleinformatycznej LEGMAN w Legnicy - I Etap  Budowa </t>
  </si>
  <si>
    <t>- przebudowa (adaptacja) Willi Bolka von Richthofena wraz z zagospodarowaniem terenu na potrzeby Środowiskowego</t>
  </si>
  <si>
    <t xml:space="preserve"> Centrum Integracyjno - Profilaktycznego</t>
  </si>
  <si>
    <t>- zagospodarowanie oraz utworzenie estetycznych i funkcjonalnych przestrzeni publicznych</t>
  </si>
  <si>
    <t>- przebudowa (adaptacja) pomieszczeń Bramy Głogowskiej dla potrzeb punktu informacji turystycznej</t>
  </si>
  <si>
    <t xml:space="preserve"> w dniu 23.07.2009 roku</t>
  </si>
  <si>
    <t>Odtworzenie zabytkowego Parku Miejskiego w Legnicy zniszczonego w wyniku przejścia huraganu</t>
  </si>
  <si>
    <t>Etap II - przebudowa ul. Szczytnickiej</t>
  </si>
  <si>
    <t>produkcyjno-usługowych</t>
  </si>
  <si>
    <t>przy ul. Złotoryjskiej</t>
  </si>
  <si>
    <t>do Uchwały Nr XII/121/11</t>
  </si>
  <si>
    <t>z dnia 26 września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</si>
</sst>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vertical="center"/>
    </xf>
    <xf numFmtId="0" fontId="8" fillId="34" borderId="14" xfId="0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5" xfId="0" applyFont="1" applyFill="1" applyBorder="1" applyAlignment="1" quotePrefix="1">
      <alignment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/>
    </xf>
    <xf numFmtId="4" fontId="11" fillId="34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vertical="center" wrapText="1"/>
    </xf>
    <xf numFmtId="0" fontId="3" fillId="34" borderId="15" xfId="0" applyFont="1" applyFill="1" applyBorder="1" applyAlignment="1" quotePrefix="1">
      <alignment horizontal="left" vertical="center" wrapText="1"/>
    </xf>
    <xf numFmtId="0" fontId="3" fillId="34" borderId="15" xfId="0" applyFont="1" applyFill="1" applyBorder="1" applyAlignment="1" quotePrefix="1">
      <alignment horizontal="left" vertical="center"/>
    </xf>
    <xf numFmtId="0" fontId="3" fillId="34" borderId="14" xfId="0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 quotePrefix="1">
      <alignment vertical="center"/>
    </xf>
    <xf numFmtId="0" fontId="3" fillId="34" borderId="15" xfId="0" applyFont="1" applyFill="1" applyBorder="1" applyAlignment="1">
      <alignment vertical="center"/>
    </xf>
    <xf numFmtId="49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9" fontId="3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6" xfId="0" applyNumberFormat="1" applyFont="1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>
      <alignment horizontal="center" vertical="center"/>
    </xf>
    <xf numFmtId="49" fontId="3" fillId="36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36" borderId="26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26" xfId="0" applyNumberFormat="1" applyFont="1" applyFill="1" applyBorder="1" applyAlignment="1">
      <alignment vertical="center" wrapText="1"/>
    </xf>
    <xf numFmtId="49" fontId="3" fillId="36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25" xfId="0" applyFont="1" applyFill="1" applyBorder="1" applyAlignment="1">
      <alignment horizontal="center" vertical="center"/>
    </xf>
    <xf numFmtId="49" fontId="3" fillId="36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27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34" borderId="26" xfId="0" applyNumberFormat="1" applyFont="1" applyFill="1" applyBorder="1" applyAlignment="1">
      <alignment horizontal="right" vertical="center"/>
    </xf>
    <xf numFmtId="0" fontId="3" fillId="34" borderId="27" xfId="0" applyFont="1" applyFill="1" applyBorder="1" applyAlignment="1">
      <alignment vertical="center"/>
    </xf>
    <xf numFmtId="4" fontId="3" fillId="34" borderId="27" xfId="0" applyNumberFormat="1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vertical="center" wrapText="1"/>
    </xf>
    <xf numFmtId="4" fontId="3" fillId="34" borderId="25" xfId="0" applyNumberFormat="1" applyFont="1" applyFill="1" applyBorder="1" applyAlignment="1">
      <alignment vertical="center" wrapText="1"/>
    </xf>
    <xf numFmtId="4" fontId="3" fillId="34" borderId="23" xfId="0" applyNumberFormat="1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 quotePrefix="1">
      <alignment vertical="center" wrapText="1"/>
    </xf>
    <xf numFmtId="4" fontId="3" fillId="34" borderId="13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4" fontId="3" fillId="37" borderId="17" xfId="0" applyNumberFormat="1" applyFont="1" applyFill="1" applyBorder="1" applyAlignment="1">
      <alignment vertical="center" wrapText="1"/>
    </xf>
    <xf numFmtId="4" fontId="3" fillId="34" borderId="32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right" vertical="center" wrapText="1"/>
    </xf>
    <xf numFmtId="4" fontId="3" fillId="34" borderId="3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52" applyFont="1" applyFill="1" applyBorder="1" applyAlignment="1">
      <alignment/>
      <protection/>
    </xf>
    <xf numFmtId="4" fontId="3" fillId="34" borderId="15" xfId="0" applyNumberFormat="1" applyFont="1" applyFill="1" applyBorder="1" applyAlignment="1">
      <alignment horizontal="right" vertical="center"/>
    </xf>
    <xf numFmtId="0" fontId="3" fillId="34" borderId="15" xfId="52" applyFont="1" applyFill="1" applyBorder="1" applyAlignment="1">
      <alignment vertical="top"/>
      <protection/>
    </xf>
    <xf numFmtId="4" fontId="3" fillId="34" borderId="15" xfId="0" applyNumberFormat="1" applyFont="1" applyFill="1" applyBorder="1" applyAlignment="1">
      <alignment vertical="center"/>
    </xf>
    <xf numFmtId="0" fontId="3" fillId="34" borderId="22" xfId="0" applyFont="1" applyFill="1" applyBorder="1" applyAlignment="1">
      <alignment/>
    </xf>
    <xf numFmtId="0" fontId="3" fillId="34" borderId="34" xfId="0" applyFont="1" applyFill="1" applyBorder="1" applyAlignment="1">
      <alignment vertical="center" wrapText="1"/>
    </xf>
    <xf numFmtId="4" fontId="3" fillId="34" borderId="14" xfId="0" applyNumberFormat="1" applyFont="1" applyFill="1" applyBorder="1" applyAlignment="1">
      <alignment horizontal="right" vertical="center"/>
    </xf>
    <xf numFmtId="4" fontId="3" fillId="34" borderId="14" xfId="0" applyNumberFormat="1" applyFont="1" applyFill="1" applyBorder="1" applyAlignment="1">
      <alignment vertical="center"/>
    </xf>
    <xf numFmtId="0" fontId="3" fillId="34" borderId="33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horizontal="center" vertical="center" wrapText="1"/>
    </xf>
    <xf numFmtId="4" fontId="3" fillId="34" borderId="33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/>
    </xf>
    <xf numFmtId="4" fontId="3" fillId="34" borderId="34" xfId="0" applyNumberFormat="1" applyFont="1" applyFill="1" applyBorder="1" applyAlignment="1">
      <alignment vertical="center" wrapText="1"/>
    </xf>
    <xf numFmtId="49" fontId="6" fillId="35" borderId="24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quotePrefix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 quotePrefix="1">
      <alignment horizontal="right" vertical="center" wrapText="1"/>
    </xf>
    <xf numFmtId="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35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0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1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3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49" fontId="3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49" fontId="3" fillId="35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49" fontId="6" fillId="35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55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26" xfId="0" applyFont="1" applyFill="1" applyBorder="1" applyAlignment="1">
      <alignment horizontal="left" vertical="center"/>
    </xf>
    <xf numFmtId="49" fontId="3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56" xfId="0" applyFont="1" applyFill="1" applyBorder="1" applyAlignment="1" quotePrefix="1">
      <alignment horizontal="center" vertical="center" wrapText="1"/>
    </xf>
    <xf numFmtId="0" fontId="3" fillId="34" borderId="57" xfId="0" applyFont="1" applyFill="1" applyBorder="1" applyAlignment="1">
      <alignment horizontal="left" vertical="center" wrapText="1"/>
    </xf>
    <xf numFmtId="0" fontId="3" fillId="34" borderId="58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/>
    </xf>
    <xf numFmtId="4" fontId="50" fillId="0" borderId="0" xfId="0" applyNumberFormat="1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poprawiane2008-2010 do 17.07 oddane skabonce 29.08.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view="pageBreakPreview" zoomScaleNormal="70" zoomScaleSheetLayoutView="100" workbookViewId="0" topLeftCell="C1">
      <selection activeCell="O5" sqref="O5"/>
    </sheetView>
  </sheetViews>
  <sheetFormatPr defaultColWidth="9.140625" defaultRowHeight="12.75"/>
  <cols>
    <col min="1" max="1" width="95.140625" style="1" customWidth="1"/>
    <col min="2" max="2" width="15.00390625" style="2" customWidth="1"/>
    <col min="3" max="3" width="18.00390625" style="2" customWidth="1"/>
    <col min="4" max="4" width="16.7109375" style="2" customWidth="1"/>
    <col min="5" max="5" width="13.421875" style="1" customWidth="1"/>
    <col min="6" max="6" width="13.421875" style="3" customWidth="1"/>
    <col min="7" max="7" width="13.8515625" style="1" customWidth="1"/>
    <col min="8" max="8" width="14.140625" style="1" customWidth="1"/>
    <col min="9" max="9" width="14.57421875" style="1" customWidth="1"/>
    <col min="10" max="10" width="15.140625" style="1" customWidth="1"/>
    <col min="11" max="11" width="12.57421875" style="1" customWidth="1"/>
    <col min="12" max="12" width="15.140625" style="1" customWidth="1"/>
    <col min="13" max="13" width="14.140625" style="1" customWidth="1"/>
    <col min="14" max="14" width="11.7109375" style="1" bestFit="1" customWidth="1"/>
    <col min="15" max="16384" width="9.140625" style="1" customWidth="1"/>
  </cols>
  <sheetData>
    <row r="1" spans="11:13" ht="12" customHeight="1">
      <c r="K1" s="4"/>
      <c r="L1" s="5" t="s">
        <v>90</v>
      </c>
      <c r="M1" s="4"/>
    </row>
    <row r="2" spans="11:13" ht="12.75" customHeight="1">
      <c r="K2" s="6"/>
      <c r="L2" s="7" t="s">
        <v>126</v>
      </c>
      <c r="M2" s="6"/>
    </row>
    <row r="3" spans="11:13" ht="12.75" customHeight="1">
      <c r="K3" s="6"/>
      <c r="L3" s="7" t="s">
        <v>10</v>
      </c>
      <c r="M3" s="6"/>
    </row>
    <row r="4" spans="11:13" ht="12" customHeight="1">
      <c r="K4" s="6"/>
      <c r="L4" s="7" t="s">
        <v>127</v>
      </c>
      <c r="M4" s="6"/>
    </row>
    <row r="5" spans="1:13" ht="15.75" customHeight="1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ht="13.5" thickBot="1"/>
    <row r="7" spans="1:13" s="9" customFormat="1" ht="19.5" customHeight="1" thickBot="1">
      <c r="A7" s="135" t="s">
        <v>0</v>
      </c>
      <c r="B7" s="135" t="s">
        <v>2</v>
      </c>
      <c r="C7" s="142" t="s">
        <v>19</v>
      </c>
      <c r="D7" s="145"/>
      <c r="E7" s="135" t="s">
        <v>1</v>
      </c>
      <c r="F7" s="142" t="s">
        <v>68</v>
      </c>
      <c r="G7" s="142" t="s">
        <v>69</v>
      </c>
      <c r="H7" s="142" t="s">
        <v>70</v>
      </c>
      <c r="I7" s="142" t="s">
        <v>71</v>
      </c>
      <c r="J7" s="142" t="s">
        <v>72</v>
      </c>
      <c r="K7" s="142" t="s">
        <v>73</v>
      </c>
      <c r="L7" s="142" t="s">
        <v>74</v>
      </c>
      <c r="M7" s="151" t="s">
        <v>76</v>
      </c>
    </row>
    <row r="8" spans="1:13" s="9" customFormat="1" ht="18.75" customHeight="1" thickBot="1">
      <c r="A8" s="135"/>
      <c r="B8" s="135"/>
      <c r="C8" s="144"/>
      <c r="D8" s="146"/>
      <c r="E8" s="135"/>
      <c r="F8" s="143"/>
      <c r="G8" s="143"/>
      <c r="H8" s="143"/>
      <c r="I8" s="143"/>
      <c r="J8" s="143"/>
      <c r="K8" s="143"/>
      <c r="L8" s="143"/>
      <c r="M8" s="152"/>
    </row>
    <row r="9" spans="1:13" s="10" customFormat="1" ht="17.25" customHeight="1" thickBot="1">
      <c r="A9" s="135"/>
      <c r="B9" s="135"/>
      <c r="C9" s="8" t="s">
        <v>11</v>
      </c>
      <c r="D9" s="8" t="s">
        <v>12</v>
      </c>
      <c r="E9" s="135"/>
      <c r="F9" s="144"/>
      <c r="G9" s="144"/>
      <c r="H9" s="144"/>
      <c r="I9" s="144"/>
      <c r="J9" s="144"/>
      <c r="K9" s="144"/>
      <c r="L9" s="144"/>
      <c r="M9" s="153"/>
    </row>
    <row r="10" spans="1:14" s="12" customFormat="1" ht="12.75" customHeight="1">
      <c r="A10" s="175" t="s">
        <v>20</v>
      </c>
      <c r="B10" s="175"/>
      <c r="C10" s="175"/>
      <c r="D10" s="175"/>
      <c r="E10" s="11">
        <f>SUM(E11:E12)</f>
        <v>337908631.66999996</v>
      </c>
      <c r="F10" s="11">
        <f aca="true" t="shared" si="0" ref="F10:L10">SUM(F11:F12)</f>
        <v>58575052.92</v>
      </c>
      <c r="G10" s="11">
        <f t="shared" si="0"/>
        <v>77141598.59</v>
      </c>
      <c r="H10" s="11">
        <f>SUM(H11:H12)</f>
        <v>32383859.37</v>
      </c>
      <c r="I10" s="11">
        <f t="shared" si="0"/>
        <v>26701589</v>
      </c>
      <c r="J10" s="11">
        <f t="shared" si="0"/>
        <v>24661726</v>
      </c>
      <c r="K10" s="11">
        <f t="shared" si="0"/>
        <v>26128126</v>
      </c>
      <c r="L10" s="11">
        <f t="shared" si="0"/>
        <v>19309829</v>
      </c>
      <c r="M10" s="11">
        <f>SUM(M11:M12)</f>
        <v>264901780.88</v>
      </c>
      <c r="N10" s="199">
        <f>SUM(F10:L10)</f>
        <v>264901780.88</v>
      </c>
    </row>
    <row r="11" spans="1:14" s="12" customFormat="1" ht="12.75" customHeight="1">
      <c r="A11" s="171" t="s">
        <v>21</v>
      </c>
      <c r="B11" s="171"/>
      <c r="C11" s="171"/>
      <c r="D11" s="171"/>
      <c r="E11" s="13">
        <f aca="true" t="shared" si="1" ref="E11:M11">SUM(E17,E113,)</f>
        <v>10374295.2</v>
      </c>
      <c r="F11" s="13">
        <f t="shared" si="1"/>
        <v>3428794.3200000003</v>
      </c>
      <c r="G11" s="13">
        <f t="shared" si="1"/>
        <v>2599259.59</v>
      </c>
      <c r="H11" s="13">
        <f t="shared" si="1"/>
        <v>1056181.37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7084235.28</v>
      </c>
      <c r="N11" s="199">
        <f aca="true" t="shared" si="2" ref="N11:N17">SUM(F11:L11)</f>
        <v>7084235.28</v>
      </c>
    </row>
    <row r="12" spans="1:14" s="12" customFormat="1" ht="12.75" customHeight="1">
      <c r="A12" s="183" t="s">
        <v>22</v>
      </c>
      <c r="B12" s="183"/>
      <c r="C12" s="183"/>
      <c r="D12" s="183"/>
      <c r="E12" s="13">
        <f aca="true" t="shared" si="3" ref="E12:L12">SUM(E15)</f>
        <v>327534336.46999997</v>
      </c>
      <c r="F12" s="13">
        <f t="shared" si="3"/>
        <v>55146258.6</v>
      </c>
      <c r="G12" s="13">
        <f t="shared" si="3"/>
        <v>74542339</v>
      </c>
      <c r="H12" s="13">
        <f t="shared" si="3"/>
        <v>31327678</v>
      </c>
      <c r="I12" s="13">
        <f t="shared" si="3"/>
        <v>26701589</v>
      </c>
      <c r="J12" s="13">
        <f t="shared" si="3"/>
        <v>24661726</v>
      </c>
      <c r="K12" s="13">
        <f t="shared" si="3"/>
        <v>26128126</v>
      </c>
      <c r="L12" s="13">
        <f t="shared" si="3"/>
        <v>19309829</v>
      </c>
      <c r="M12" s="13">
        <f>SUM(M15)</f>
        <v>257817545.6</v>
      </c>
      <c r="N12" s="199">
        <f t="shared" si="2"/>
        <v>257817545.6</v>
      </c>
    </row>
    <row r="13" spans="1:14" s="12" customFormat="1" ht="12.75" customHeight="1">
      <c r="A13" s="155" t="s">
        <v>27</v>
      </c>
      <c r="B13" s="155"/>
      <c r="C13" s="155"/>
      <c r="D13" s="155"/>
      <c r="E13" s="14">
        <f aca="true" t="shared" si="4" ref="E13:L13">SUM(E14:E15)</f>
        <v>337908631.66999996</v>
      </c>
      <c r="F13" s="14">
        <f t="shared" si="4"/>
        <v>58575052.92</v>
      </c>
      <c r="G13" s="14">
        <f t="shared" si="4"/>
        <v>77141598.59</v>
      </c>
      <c r="H13" s="14">
        <f t="shared" si="4"/>
        <v>32383859.37</v>
      </c>
      <c r="I13" s="14">
        <f t="shared" si="4"/>
        <v>26701589</v>
      </c>
      <c r="J13" s="14">
        <f t="shared" si="4"/>
        <v>24661726</v>
      </c>
      <c r="K13" s="14">
        <f t="shared" si="4"/>
        <v>26128126</v>
      </c>
      <c r="L13" s="14">
        <f t="shared" si="4"/>
        <v>19309829</v>
      </c>
      <c r="M13" s="14">
        <f>SUM(M14:M15)</f>
        <v>264901780.88</v>
      </c>
      <c r="N13" s="199">
        <f t="shared" si="2"/>
        <v>264901780.88</v>
      </c>
    </row>
    <row r="14" spans="1:14" s="12" customFormat="1" ht="12.75" customHeight="1">
      <c r="A14" s="165" t="s">
        <v>21</v>
      </c>
      <c r="B14" s="165"/>
      <c r="C14" s="165"/>
      <c r="D14" s="165"/>
      <c r="E14" s="13">
        <f>SUM(E17,E113)</f>
        <v>10374295.2</v>
      </c>
      <c r="F14" s="13">
        <f>SUM(F17,F113)</f>
        <v>3428794.3200000003</v>
      </c>
      <c r="G14" s="13">
        <f>SUM(G17,G113)</f>
        <v>2599259.59</v>
      </c>
      <c r="H14" s="13">
        <f>SUM(H17,H113)</f>
        <v>1056181.37</v>
      </c>
      <c r="I14" s="13">
        <f>SUM(I20,I116,)</f>
        <v>0</v>
      </c>
      <c r="J14" s="13">
        <f>SUM(J20,J116,)</f>
        <v>0</v>
      </c>
      <c r="K14" s="13">
        <f>SUM(K20,K116,)</f>
        <v>0</v>
      </c>
      <c r="L14" s="13">
        <f>SUM(L20,L116,)</f>
        <v>0</v>
      </c>
      <c r="M14" s="13">
        <f>SUM(M17,M113)</f>
        <v>7084235.28</v>
      </c>
      <c r="N14" s="199">
        <f t="shared" si="2"/>
        <v>7084235.28</v>
      </c>
    </row>
    <row r="15" spans="1:14" s="12" customFormat="1" ht="12.75" customHeight="1">
      <c r="A15" s="165" t="s">
        <v>22</v>
      </c>
      <c r="B15" s="165"/>
      <c r="C15" s="165"/>
      <c r="D15" s="165"/>
      <c r="E15" s="13">
        <f aca="true" t="shared" si="5" ref="E15:M15">SUM(E57,E120)</f>
        <v>327534336.46999997</v>
      </c>
      <c r="F15" s="13">
        <f t="shared" si="5"/>
        <v>55146258.6</v>
      </c>
      <c r="G15" s="13">
        <f t="shared" si="5"/>
        <v>74542339</v>
      </c>
      <c r="H15" s="13">
        <f t="shared" si="5"/>
        <v>31327678</v>
      </c>
      <c r="I15" s="13">
        <f t="shared" si="5"/>
        <v>26701589</v>
      </c>
      <c r="J15" s="13">
        <f t="shared" si="5"/>
        <v>24661726</v>
      </c>
      <c r="K15" s="13">
        <f t="shared" si="5"/>
        <v>26128126</v>
      </c>
      <c r="L15" s="13">
        <f t="shared" si="5"/>
        <v>19309829</v>
      </c>
      <c r="M15" s="13">
        <f t="shared" si="5"/>
        <v>257817545.6</v>
      </c>
      <c r="N15" s="199">
        <f t="shared" si="2"/>
        <v>257817545.6</v>
      </c>
    </row>
    <row r="16" spans="1:14" s="15" customFormat="1" ht="12.75" customHeight="1">
      <c r="A16" s="187" t="s">
        <v>60</v>
      </c>
      <c r="B16" s="187"/>
      <c r="C16" s="187"/>
      <c r="D16" s="187"/>
      <c r="E16" s="14">
        <f aca="true" t="shared" si="6" ref="E16:M16">SUM(E17,E57)</f>
        <v>32039592.2</v>
      </c>
      <c r="F16" s="14">
        <f t="shared" si="6"/>
        <v>13949102.04</v>
      </c>
      <c r="G16" s="14">
        <f t="shared" si="6"/>
        <v>11015252.59</v>
      </c>
      <c r="H16" s="14">
        <f t="shared" si="6"/>
        <v>1056181.37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26020536</v>
      </c>
      <c r="N16" s="199">
        <f>SUM(F16:L16)</f>
        <v>26020536</v>
      </c>
    </row>
    <row r="17" spans="1:14" s="15" customFormat="1" ht="12.75" customHeight="1">
      <c r="A17" s="170" t="s">
        <v>21</v>
      </c>
      <c r="B17" s="170"/>
      <c r="C17" s="170"/>
      <c r="D17" s="170"/>
      <c r="E17" s="16">
        <f>SUM(E18,E37,E44,E50)</f>
        <v>7285182.199999999</v>
      </c>
      <c r="F17" s="16">
        <f>SUM(F18,F37,F44,F50)</f>
        <v>1694417.32</v>
      </c>
      <c r="G17" s="16">
        <f>SUM(G18,G37,G44,G50)</f>
        <v>2599259.59</v>
      </c>
      <c r="H17" s="16">
        <f>SUM(H18,H37,H44,H50)</f>
        <v>1056181.37</v>
      </c>
      <c r="I17" s="16">
        <f>SUM(I18,I37)</f>
        <v>0</v>
      </c>
      <c r="J17" s="16">
        <f>SUM(J18,J37)</f>
        <v>0</v>
      </c>
      <c r="K17" s="16">
        <f>SUM(K18,K37)</f>
        <v>0</v>
      </c>
      <c r="L17" s="16">
        <f>SUM(L18,L37)</f>
        <v>0</v>
      </c>
      <c r="M17" s="16">
        <f>SUM(M18,M37,M44,M50)</f>
        <v>5349858.28</v>
      </c>
      <c r="N17" s="199">
        <f t="shared" si="2"/>
        <v>5349858.28</v>
      </c>
    </row>
    <row r="18" spans="1:14" s="18" customFormat="1" ht="12.75" customHeight="1">
      <c r="A18" s="176" t="s">
        <v>17</v>
      </c>
      <c r="B18" s="176"/>
      <c r="C18" s="176"/>
      <c r="D18" s="176"/>
      <c r="E18" s="17">
        <f aca="true" t="shared" si="7" ref="E18:L18">SUM(E21)</f>
        <v>280230.85000000003</v>
      </c>
      <c r="F18" s="17">
        <f t="shared" si="7"/>
        <v>75988.03</v>
      </c>
      <c r="G18" s="17">
        <f>SUM(G21)</f>
        <v>105643.22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>SUM(M21)</f>
        <v>181631.25</v>
      </c>
      <c r="N18" s="199">
        <f>SUM(F18:L18)</f>
        <v>181631.25</v>
      </c>
    </row>
    <row r="19" spans="1:14" s="24" customFormat="1" ht="12.75" customHeight="1">
      <c r="A19" s="136" t="s">
        <v>35</v>
      </c>
      <c r="B19" s="136"/>
      <c r="C19" s="136"/>
      <c r="D19" s="136"/>
      <c r="E19" s="19"/>
      <c r="F19" s="20"/>
      <c r="G19" s="21"/>
      <c r="H19" s="22"/>
      <c r="I19" s="22"/>
      <c r="J19" s="23"/>
      <c r="K19" s="23"/>
      <c r="L19" s="23"/>
      <c r="M19" s="23"/>
      <c r="N19" s="199"/>
    </row>
    <row r="20" spans="1:13" s="25" customFormat="1" ht="12.75" customHeight="1">
      <c r="A20" s="147" t="s">
        <v>36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s="30" customFormat="1" ht="12.75" customHeight="1">
      <c r="A21" s="26" t="s">
        <v>28</v>
      </c>
      <c r="B21" s="27"/>
      <c r="C21" s="28">
        <v>2009</v>
      </c>
      <c r="D21" s="28">
        <v>2012</v>
      </c>
      <c r="E21" s="29">
        <f>SUM(E23,E27,E31,E35)</f>
        <v>280230.85000000003</v>
      </c>
      <c r="F21" s="29">
        <f>SUM(F23,F27,F31,F35)</f>
        <v>75988.03</v>
      </c>
      <c r="G21" s="29">
        <f>SUM(G23,G27,G31,G35)</f>
        <v>105643.22</v>
      </c>
      <c r="H21" s="29">
        <v>0</v>
      </c>
      <c r="I21" s="29">
        <f>SUM(I23,I27,I31,I35)</f>
        <v>0</v>
      </c>
      <c r="J21" s="29">
        <f>SUM(J23,J27,J31,J35)</f>
        <v>0</v>
      </c>
      <c r="K21" s="29">
        <f>SUM(K23,K27,K31,K35)</f>
        <v>0</v>
      </c>
      <c r="L21" s="29">
        <f>SUM(L23,L27,L31,L35)</f>
        <v>0</v>
      </c>
      <c r="M21" s="29">
        <f>SUM(F21:G21)</f>
        <v>181631.25</v>
      </c>
    </row>
    <row r="22" spans="1:13" s="30" customFormat="1" ht="12.75" customHeight="1">
      <c r="A22" s="26"/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30" customFormat="1" ht="12.75" customHeight="1">
      <c r="A23" s="31" t="s">
        <v>29</v>
      </c>
      <c r="B23" s="27" t="s">
        <v>44</v>
      </c>
      <c r="C23" s="28">
        <v>2009</v>
      </c>
      <c r="D23" s="28">
        <v>2012</v>
      </c>
      <c r="E23" s="29">
        <f>95198+8000-12392.61</f>
        <v>90805.39</v>
      </c>
      <c r="F23" s="29">
        <f>68000-2392.61</f>
        <v>65607.39</v>
      </c>
      <c r="G23" s="29">
        <f>10000+8000</f>
        <v>18000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f>SUM(F23:G23)</f>
        <v>83607.39</v>
      </c>
    </row>
    <row r="24" spans="1:13" s="30" customFormat="1" ht="12.75">
      <c r="A24" s="26"/>
      <c r="B24" s="27" t="s">
        <v>45</v>
      </c>
      <c r="C24" s="32"/>
      <c r="D24" s="27"/>
      <c r="E24" s="29"/>
      <c r="F24" s="29"/>
      <c r="G24" s="29"/>
      <c r="H24" s="29"/>
      <c r="I24" s="29"/>
      <c r="J24" s="29"/>
      <c r="K24" s="29"/>
      <c r="L24" s="29"/>
      <c r="M24" s="29"/>
    </row>
    <row r="25" spans="1:13" s="30" customFormat="1" ht="12.75">
      <c r="A25" s="26"/>
      <c r="B25" s="27" t="s">
        <v>46</v>
      </c>
      <c r="C25" s="32"/>
      <c r="D25" s="27"/>
      <c r="E25" s="29"/>
      <c r="F25" s="29"/>
      <c r="G25" s="29"/>
      <c r="H25" s="29"/>
      <c r="I25" s="29"/>
      <c r="J25" s="29"/>
      <c r="K25" s="29"/>
      <c r="L25" s="29"/>
      <c r="M25" s="29"/>
    </row>
    <row r="26" spans="1:13" s="30" customFormat="1" ht="12.75">
      <c r="A26" s="26"/>
      <c r="B26" s="27"/>
      <c r="C26" s="32"/>
      <c r="D26" s="27"/>
      <c r="E26" s="29"/>
      <c r="F26" s="29"/>
      <c r="G26" s="29"/>
      <c r="H26" s="29"/>
      <c r="I26" s="29"/>
      <c r="J26" s="29"/>
      <c r="K26" s="29"/>
      <c r="L26" s="29"/>
      <c r="M26" s="29"/>
    </row>
    <row r="27" spans="1:13" s="30" customFormat="1" ht="12.75" customHeight="1">
      <c r="A27" s="31" t="s">
        <v>117</v>
      </c>
      <c r="B27" s="27" t="s">
        <v>44</v>
      </c>
      <c r="C27" s="28">
        <v>2009</v>
      </c>
      <c r="D27" s="28">
        <v>2012</v>
      </c>
      <c r="E27" s="29">
        <v>158660.82</v>
      </c>
      <c r="F27" s="29">
        <v>5500</v>
      </c>
      <c r="G27" s="29">
        <v>78643.22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f>SUM(F27:G27)</f>
        <v>84143.22</v>
      </c>
    </row>
    <row r="28" spans="1:13" s="30" customFormat="1" ht="12.75">
      <c r="A28" s="26" t="s">
        <v>118</v>
      </c>
      <c r="B28" s="27" t="s">
        <v>45</v>
      </c>
      <c r="C28" s="32"/>
      <c r="D28" s="27"/>
      <c r="E28" s="29"/>
      <c r="F28" s="29"/>
      <c r="G28" s="29"/>
      <c r="H28" s="29"/>
      <c r="I28" s="29"/>
      <c r="J28" s="29"/>
      <c r="K28" s="29"/>
      <c r="L28" s="29"/>
      <c r="M28" s="29"/>
    </row>
    <row r="29" spans="1:13" s="30" customFormat="1" ht="12.75">
      <c r="A29" s="26"/>
      <c r="B29" s="27" t="s">
        <v>46</v>
      </c>
      <c r="C29" s="32"/>
      <c r="D29" s="27"/>
      <c r="E29" s="29"/>
      <c r="F29" s="29"/>
      <c r="G29" s="29"/>
      <c r="H29" s="29"/>
      <c r="I29" s="29"/>
      <c r="J29" s="29"/>
      <c r="K29" s="29"/>
      <c r="L29" s="29"/>
      <c r="M29" s="29"/>
    </row>
    <row r="30" spans="1:13" s="30" customFormat="1" ht="12.75">
      <c r="A30" s="26"/>
      <c r="B30" s="27"/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</row>
    <row r="31" spans="1:13" s="30" customFormat="1" ht="12.75">
      <c r="A31" s="31" t="s">
        <v>119</v>
      </c>
      <c r="B31" s="27" t="s">
        <v>44</v>
      </c>
      <c r="C31" s="28">
        <v>2009</v>
      </c>
      <c r="D31" s="28">
        <v>2012</v>
      </c>
      <c r="E31" s="29">
        <v>18198</v>
      </c>
      <c r="F31" s="29">
        <v>0</v>
      </c>
      <c r="G31" s="29">
        <v>9000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f>SUM(F31:G31)</f>
        <v>9000</v>
      </c>
    </row>
    <row r="32" spans="1:13" s="30" customFormat="1" ht="12.75">
      <c r="A32" s="26"/>
      <c r="B32" s="27" t="s">
        <v>45</v>
      </c>
      <c r="C32" s="32"/>
      <c r="D32" s="28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30" customFormat="1" ht="12.75">
      <c r="A33" s="26"/>
      <c r="B33" s="27" t="s">
        <v>46</v>
      </c>
      <c r="C33" s="32"/>
      <c r="D33" s="28"/>
      <c r="E33" s="29"/>
      <c r="F33" s="29"/>
      <c r="G33" s="29"/>
      <c r="H33" s="29"/>
      <c r="I33" s="29"/>
      <c r="J33" s="29"/>
      <c r="K33" s="29"/>
      <c r="L33" s="29"/>
      <c r="M33" s="29"/>
    </row>
    <row r="34" spans="1:13" s="30" customFormat="1" ht="12.75">
      <c r="A34" s="26"/>
      <c r="B34" s="27"/>
      <c r="C34" s="32"/>
      <c r="D34" s="28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30" customFormat="1" ht="12.75">
      <c r="A35" s="31" t="s">
        <v>30</v>
      </c>
      <c r="B35" s="27" t="s">
        <v>3</v>
      </c>
      <c r="C35" s="28">
        <v>2009</v>
      </c>
      <c r="D35" s="28">
        <v>2011</v>
      </c>
      <c r="E35" s="29">
        <f>22490.37-9923.73</f>
        <v>12566.64</v>
      </c>
      <c r="F35" s="29">
        <f>14804.37-9923.73</f>
        <v>4880.640000000001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f>SUM(F35:G35)</f>
        <v>4880.640000000001</v>
      </c>
    </row>
    <row r="36" spans="1:13" s="30" customFormat="1" ht="12.75">
      <c r="A36" s="26"/>
      <c r="B36" s="27" t="s">
        <v>4</v>
      </c>
      <c r="C36" s="32"/>
      <c r="D36" s="28"/>
      <c r="E36" s="29"/>
      <c r="F36" s="29"/>
      <c r="G36" s="29"/>
      <c r="H36" s="29"/>
      <c r="I36" s="29"/>
      <c r="J36" s="29"/>
      <c r="K36" s="29"/>
      <c r="L36" s="29"/>
      <c r="M36" s="29"/>
    </row>
    <row r="37" spans="1:13" s="25" customFormat="1" ht="13.5" customHeight="1">
      <c r="A37" s="33" t="s">
        <v>87</v>
      </c>
      <c r="B37" s="34"/>
      <c r="C37" s="34"/>
      <c r="D37" s="35"/>
      <c r="E37" s="17">
        <f>SUM(E40)</f>
        <v>4699131.35</v>
      </c>
      <c r="F37" s="17">
        <f aca="true" t="shared" si="8" ref="F37:L37">SUM(F40)</f>
        <v>835714.29</v>
      </c>
      <c r="G37" s="17">
        <f t="shared" si="8"/>
        <v>1013346.37</v>
      </c>
      <c r="H37" s="17">
        <f>SUM(H40)</f>
        <v>1013346.37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>SUM(M40)</f>
        <v>2862407.0300000003</v>
      </c>
    </row>
    <row r="38" spans="1:13" s="25" customFormat="1" ht="12.75" customHeight="1">
      <c r="A38" s="166" t="s">
        <v>88</v>
      </c>
      <c r="B38" s="167"/>
      <c r="C38" s="167"/>
      <c r="D38" s="168"/>
      <c r="E38" s="36"/>
      <c r="F38" s="36"/>
      <c r="G38" s="36"/>
      <c r="H38" s="36"/>
      <c r="I38" s="36"/>
      <c r="J38" s="36"/>
      <c r="K38" s="36"/>
      <c r="L38" s="36"/>
      <c r="M38" s="36"/>
    </row>
    <row r="39" spans="1:13" s="25" customFormat="1" ht="12.75" customHeight="1">
      <c r="A39" s="37" t="s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5" customFormat="1" ht="13.5" customHeight="1">
      <c r="A40" s="40" t="s">
        <v>39</v>
      </c>
      <c r="B40" s="28" t="s">
        <v>13</v>
      </c>
      <c r="C40" s="28">
        <v>2009</v>
      </c>
      <c r="D40" s="28">
        <v>2013</v>
      </c>
      <c r="E40" s="41">
        <f>4876763.43-158980.71-18651.37</f>
        <v>4699131.35</v>
      </c>
      <c r="F40" s="41">
        <f>1013346.37-158980.71-18651.37</f>
        <v>835714.29</v>
      </c>
      <c r="G40" s="41">
        <v>1013346.37</v>
      </c>
      <c r="H40" s="41">
        <v>1013346.37</v>
      </c>
      <c r="I40" s="41">
        <v>0</v>
      </c>
      <c r="J40" s="41">
        <v>0</v>
      </c>
      <c r="K40" s="41">
        <v>0</v>
      </c>
      <c r="L40" s="41">
        <v>0</v>
      </c>
      <c r="M40" s="41">
        <f>SUM(F40:H40)</f>
        <v>2862407.0300000003</v>
      </c>
    </row>
    <row r="41" spans="1:13" s="25" customFormat="1" ht="13.5" customHeight="1">
      <c r="A41" s="42"/>
      <c r="B41" s="28" t="s">
        <v>14</v>
      </c>
      <c r="C41" s="42"/>
      <c r="D41" s="42"/>
      <c r="E41" s="41"/>
      <c r="F41" s="41"/>
      <c r="G41" s="41"/>
      <c r="H41" s="41"/>
      <c r="I41" s="41"/>
      <c r="J41" s="41"/>
      <c r="K41" s="41"/>
      <c r="L41" s="41"/>
      <c r="M41" s="41"/>
    </row>
    <row r="42" spans="1:13" s="25" customFormat="1" ht="13.5" customHeight="1">
      <c r="A42" s="42"/>
      <c r="B42" s="28" t="s">
        <v>15</v>
      </c>
      <c r="C42" s="42"/>
      <c r="D42" s="42"/>
      <c r="E42" s="41"/>
      <c r="F42" s="41"/>
      <c r="G42" s="41"/>
      <c r="H42" s="41"/>
      <c r="I42" s="41"/>
      <c r="J42" s="41"/>
      <c r="K42" s="41"/>
      <c r="L42" s="41"/>
      <c r="M42" s="41"/>
    </row>
    <row r="43" spans="1:13" s="25" customFormat="1" ht="13.5" customHeight="1">
      <c r="A43" s="42"/>
      <c r="B43" s="28" t="s">
        <v>16</v>
      </c>
      <c r="C43" s="42"/>
      <c r="D43" s="42"/>
      <c r="E43" s="41"/>
      <c r="F43" s="43"/>
      <c r="G43" s="43"/>
      <c r="H43" s="43"/>
      <c r="I43" s="43"/>
      <c r="J43" s="43"/>
      <c r="K43" s="43"/>
      <c r="L43" s="43"/>
      <c r="M43" s="43"/>
    </row>
    <row r="44" spans="1:13" s="25" customFormat="1" ht="12.75">
      <c r="A44" s="177" t="s">
        <v>87</v>
      </c>
      <c r="B44" s="178"/>
      <c r="C44" s="178"/>
      <c r="D44" s="179"/>
      <c r="E44" s="44">
        <f>SUM(E47)</f>
        <v>1030940</v>
      </c>
      <c r="F44" s="41">
        <f>SUM(F47)</f>
        <v>558195</v>
      </c>
      <c r="G44" s="41">
        <f>SUM(G47)</f>
        <v>429910</v>
      </c>
      <c r="H44" s="41">
        <f>SUM(H47)</f>
        <v>42835</v>
      </c>
      <c r="I44" s="41">
        <v>0</v>
      </c>
      <c r="J44" s="41">
        <v>0</v>
      </c>
      <c r="K44" s="41">
        <v>0</v>
      </c>
      <c r="L44" s="41">
        <v>0</v>
      </c>
      <c r="M44" s="41">
        <f>SUM(M47)</f>
        <v>1030940</v>
      </c>
    </row>
    <row r="45" spans="1:13" s="25" customFormat="1" ht="15" customHeight="1">
      <c r="A45" s="166" t="s">
        <v>85</v>
      </c>
      <c r="B45" s="167"/>
      <c r="C45" s="167"/>
      <c r="D45" s="168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25" customFormat="1" ht="12.75" customHeight="1">
      <c r="A46" s="147" t="s">
        <v>37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9"/>
    </row>
    <row r="47" spans="1:13" s="25" customFormat="1" ht="13.5" customHeight="1">
      <c r="A47" s="40" t="s">
        <v>86</v>
      </c>
      <c r="B47" s="27" t="s">
        <v>44</v>
      </c>
      <c r="C47" s="28">
        <v>2011</v>
      </c>
      <c r="D47" s="28">
        <v>2013</v>
      </c>
      <c r="E47" s="41">
        <v>1030940</v>
      </c>
      <c r="F47" s="41">
        <v>558195</v>
      </c>
      <c r="G47" s="41">
        <v>429910</v>
      </c>
      <c r="H47" s="41">
        <v>42835</v>
      </c>
      <c r="I47" s="41">
        <v>0</v>
      </c>
      <c r="J47" s="41">
        <v>0</v>
      </c>
      <c r="K47" s="41">
        <v>0</v>
      </c>
      <c r="L47" s="41">
        <v>0</v>
      </c>
      <c r="M47" s="41">
        <f>SUM(F47:H47)</f>
        <v>1030940</v>
      </c>
    </row>
    <row r="48" spans="1:13" s="25" customFormat="1" ht="13.5" customHeight="1">
      <c r="A48" s="42"/>
      <c r="B48" s="27" t="s">
        <v>45</v>
      </c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1"/>
    </row>
    <row r="49" spans="1:13" s="25" customFormat="1" ht="13.5" customHeight="1">
      <c r="A49" s="42"/>
      <c r="B49" s="27" t="s">
        <v>46</v>
      </c>
      <c r="C49" s="42"/>
      <c r="D49" s="42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25" customFormat="1" ht="13.5" customHeight="1">
      <c r="A50" s="33" t="s">
        <v>87</v>
      </c>
      <c r="B50" s="34"/>
      <c r="C50" s="34"/>
      <c r="D50" s="35"/>
      <c r="E50" s="17">
        <f aca="true" t="shared" si="9" ref="E50:M50">SUM(E53)</f>
        <v>1274880</v>
      </c>
      <c r="F50" s="17">
        <f t="shared" si="9"/>
        <v>224520</v>
      </c>
      <c r="G50" s="17">
        <f t="shared" si="9"/>
        <v>1050360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7">
        <f t="shared" si="9"/>
        <v>0</v>
      </c>
      <c r="M50" s="17">
        <f t="shared" si="9"/>
        <v>1274880</v>
      </c>
    </row>
    <row r="51" spans="1:13" s="25" customFormat="1" ht="28.5" customHeight="1">
      <c r="A51" s="166" t="s">
        <v>94</v>
      </c>
      <c r="B51" s="167"/>
      <c r="C51" s="167"/>
      <c r="D51" s="168"/>
      <c r="E51" s="36"/>
      <c r="F51" s="36"/>
      <c r="G51" s="36"/>
      <c r="H51" s="36"/>
      <c r="I51" s="36"/>
      <c r="J51" s="36"/>
      <c r="K51" s="36"/>
      <c r="L51" s="36"/>
      <c r="M51" s="36"/>
    </row>
    <row r="52" spans="1:13" s="25" customFormat="1" ht="12.75" customHeight="1">
      <c r="A52" s="37" t="s">
        <v>37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1:13" s="25" customFormat="1" ht="15" customHeight="1">
      <c r="A53" s="32" t="s">
        <v>95</v>
      </c>
      <c r="B53" s="28" t="s">
        <v>13</v>
      </c>
      <c r="C53" s="28">
        <v>2011</v>
      </c>
      <c r="D53" s="28">
        <v>2012</v>
      </c>
      <c r="E53" s="41">
        <f>1312880-38000</f>
        <v>1274880</v>
      </c>
      <c r="F53" s="41">
        <f>262520-38000</f>
        <v>224520</v>
      </c>
      <c r="G53" s="41">
        <v>1050360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f>SUM(F53:H53)</f>
        <v>1274880</v>
      </c>
    </row>
    <row r="54" spans="1:13" s="25" customFormat="1" ht="13.5" customHeight="1">
      <c r="A54" s="40"/>
      <c r="B54" s="28" t="s">
        <v>14</v>
      </c>
      <c r="C54" s="42"/>
      <c r="D54" s="42"/>
      <c r="E54" s="41"/>
      <c r="F54" s="41"/>
      <c r="G54" s="41"/>
      <c r="H54" s="41"/>
      <c r="I54" s="41"/>
      <c r="J54" s="41"/>
      <c r="K54" s="41"/>
      <c r="L54" s="41"/>
      <c r="M54" s="41"/>
    </row>
    <row r="55" spans="1:13" s="25" customFormat="1" ht="13.5" customHeight="1">
      <c r="A55" s="42"/>
      <c r="B55" s="28" t="s">
        <v>15</v>
      </c>
      <c r="C55" s="42"/>
      <c r="D55" s="42"/>
      <c r="E55" s="41"/>
      <c r="F55" s="41"/>
      <c r="G55" s="41"/>
      <c r="H55" s="41"/>
      <c r="I55" s="41"/>
      <c r="J55" s="41"/>
      <c r="K55" s="41"/>
      <c r="L55" s="41"/>
      <c r="M55" s="41"/>
    </row>
    <row r="56" spans="1:13" s="25" customFormat="1" ht="13.5" customHeight="1">
      <c r="A56" s="42"/>
      <c r="B56" s="28" t="s">
        <v>16</v>
      </c>
      <c r="C56" s="42"/>
      <c r="D56" s="42"/>
      <c r="E56" s="41"/>
      <c r="F56" s="43"/>
      <c r="G56" s="43"/>
      <c r="H56" s="43"/>
      <c r="I56" s="43"/>
      <c r="J56" s="43"/>
      <c r="K56" s="43"/>
      <c r="L56" s="43"/>
      <c r="M56" s="43"/>
    </row>
    <row r="57" spans="1:13" s="12" customFormat="1" ht="13.5" customHeight="1">
      <c r="A57" s="180" t="s">
        <v>22</v>
      </c>
      <c r="B57" s="181"/>
      <c r="C57" s="181"/>
      <c r="D57" s="182"/>
      <c r="E57" s="16">
        <f aca="true" t="shared" si="10" ref="E57:M57">SUM(E58,E65,E84,E90)</f>
        <v>24754410</v>
      </c>
      <c r="F57" s="16">
        <f t="shared" si="10"/>
        <v>12254684.719999999</v>
      </c>
      <c r="G57" s="16">
        <f t="shared" si="10"/>
        <v>8415993</v>
      </c>
      <c r="H57" s="16">
        <f t="shared" si="10"/>
        <v>0</v>
      </c>
      <c r="I57" s="16">
        <f t="shared" si="10"/>
        <v>0</v>
      </c>
      <c r="J57" s="16">
        <f t="shared" si="10"/>
        <v>0</v>
      </c>
      <c r="K57" s="16">
        <f t="shared" si="10"/>
        <v>0</v>
      </c>
      <c r="L57" s="16">
        <f t="shared" si="10"/>
        <v>0</v>
      </c>
      <c r="M57" s="16">
        <f t="shared" si="10"/>
        <v>20670677.72</v>
      </c>
    </row>
    <row r="58" spans="1:13" s="25" customFormat="1" ht="13.5" customHeight="1">
      <c r="A58" s="33" t="s">
        <v>87</v>
      </c>
      <c r="B58" s="34"/>
      <c r="C58" s="34"/>
      <c r="D58" s="35"/>
      <c r="E58" s="17">
        <f aca="true" t="shared" si="11" ref="E58:M58">SUM(E61)</f>
        <v>38000</v>
      </c>
      <c r="F58" s="17">
        <f t="shared" si="11"/>
        <v>38000</v>
      </c>
      <c r="G58" s="17">
        <f t="shared" si="11"/>
        <v>0</v>
      </c>
      <c r="H58" s="17">
        <f t="shared" si="11"/>
        <v>0</v>
      </c>
      <c r="I58" s="17">
        <f t="shared" si="11"/>
        <v>0</v>
      </c>
      <c r="J58" s="17">
        <f t="shared" si="11"/>
        <v>0</v>
      </c>
      <c r="K58" s="17">
        <f t="shared" si="11"/>
        <v>0</v>
      </c>
      <c r="L58" s="17">
        <f t="shared" si="11"/>
        <v>0</v>
      </c>
      <c r="M58" s="17">
        <f t="shared" si="11"/>
        <v>38000</v>
      </c>
    </row>
    <row r="59" spans="1:13" s="25" customFormat="1" ht="28.5" customHeight="1">
      <c r="A59" s="166" t="s">
        <v>94</v>
      </c>
      <c r="B59" s="167"/>
      <c r="C59" s="167"/>
      <c r="D59" s="168"/>
      <c r="E59" s="36"/>
      <c r="F59" s="36"/>
      <c r="G59" s="36"/>
      <c r="H59" s="36"/>
      <c r="I59" s="36"/>
      <c r="J59" s="36"/>
      <c r="K59" s="36"/>
      <c r="L59" s="36"/>
      <c r="M59" s="36"/>
    </row>
    <row r="60" spans="1:13" s="25" customFormat="1" ht="12.75" customHeight="1">
      <c r="A60" s="37" t="s">
        <v>37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25" customFormat="1" ht="15" customHeight="1">
      <c r="A61" s="32" t="s">
        <v>95</v>
      </c>
      <c r="B61" s="28" t="s">
        <v>13</v>
      </c>
      <c r="C61" s="28">
        <v>2011</v>
      </c>
      <c r="D61" s="28">
        <v>2012</v>
      </c>
      <c r="E61" s="41">
        <v>38000</v>
      </c>
      <c r="F61" s="41">
        <v>38000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f>SUM(F61:H61)</f>
        <v>38000</v>
      </c>
    </row>
    <row r="62" spans="1:13" s="25" customFormat="1" ht="13.5" customHeight="1">
      <c r="A62" s="40"/>
      <c r="B62" s="28" t="s">
        <v>14</v>
      </c>
      <c r="C62" s="42"/>
      <c r="D62" s="42"/>
      <c r="E62" s="41"/>
      <c r="F62" s="41"/>
      <c r="G62" s="41"/>
      <c r="H62" s="41"/>
      <c r="I62" s="41"/>
      <c r="J62" s="41"/>
      <c r="K62" s="41"/>
      <c r="L62" s="41"/>
      <c r="M62" s="41"/>
    </row>
    <row r="63" spans="1:13" s="25" customFormat="1" ht="13.5" customHeight="1">
      <c r="A63" s="42"/>
      <c r="B63" s="28" t="s">
        <v>15</v>
      </c>
      <c r="C63" s="42"/>
      <c r="D63" s="42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25" customFormat="1" ht="13.5" customHeight="1">
      <c r="A64" s="42"/>
      <c r="B64" s="28" t="s">
        <v>16</v>
      </c>
      <c r="C64" s="42"/>
      <c r="D64" s="42"/>
      <c r="E64" s="41"/>
      <c r="F64" s="41"/>
      <c r="G64" s="41"/>
      <c r="H64" s="41"/>
      <c r="I64" s="41"/>
      <c r="J64" s="41"/>
      <c r="K64" s="41"/>
      <c r="L64" s="41"/>
      <c r="M64" s="41"/>
    </row>
    <row r="65" spans="1:13" s="25" customFormat="1" ht="13.5" customHeight="1">
      <c r="A65" s="198" t="s">
        <v>75</v>
      </c>
      <c r="B65" s="198"/>
      <c r="C65" s="198"/>
      <c r="D65" s="198"/>
      <c r="E65" s="17">
        <f>SUM(E68)</f>
        <v>3035203.79</v>
      </c>
      <c r="F65" s="17">
        <f>SUM(F68)</f>
        <v>2957424.07</v>
      </c>
      <c r="G65" s="17">
        <f aca="true" t="shared" si="12" ref="G65:L65">SUM(G68,G87)</f>
        <v>0</v>
      </c>
      <c r="H65" s="17">
        <f t="shared" si="12"/>
        <v>0</v>
      </c>
      <c r="I65" s="17">
        <f t="shared" si="12"/>
        <v>0</v>
      </c>
      <c r="J65" s="17">
        <f t="shared" si="12"/>
        <v>0</v>
      </c>
      <c r="K65" s="17">
        <f t="shared" si="12"/>
        <v>0</v>
      </c>
      <c r="L65" s="17">
        <f t="shared" si="12"/>
        <v>0</v>
      </c>
      <c r="M65" s="17">
        <f>SUM(F65)</f>
        <v>2957424.07</v>
      </c>
    </row>
    <row r="66" spans="1:13" s="25" customFormat="1" ht="27" customHeight="1">
      <c r="A66" s="136" t="s">
        <v>51</v>
      </c>
      <c r="B66" s="136"/>
      <c r="C66" s="136"/>
      <c r="D66" s="136"/>
      <c r="E66" s="45"/>
      <c r="F66" s="46"/>
      <c r="G66" s="47"/>
      <c r="H66" s="47"/>
      <c r="I66" s="47"/>
      <c r="J66" s="48"/>
      <c r="K66" s="48"/>
      <c r="L66" s="48"/>
      <c r="M66" s="48"/>
    </row>
    <row r="67" spans="1:13" s="25" customFormat="1" ht="12.75" customHeight="1">
      <c r="A67" s="147" t="s">
        <v>36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9"/>
    </row>
    <row r="68" spans="1:13" s="25" customFormat="1" ht="12.75">
      <c r="A68" s="40" t="s">
        <v>31</v>
      </c>
      <c r="B68" s="27"/>
      <c r="C68" s="28">
        <v>2009</v>
      </c>
      <c r="D68" s="28">
        <v>2011</v>
      </c>
      <c r="E68" s="41">
        <f>SUM(E70:E77)</f>
        <v>3035203.79</v>
      </c>
      <c r="F68" s="41">
        <f aca="true" t="shared" si="13" ref="F68:L68">SUM(F70,F73,F77)</f>
        <v>2957424.07</v>
      </c>
      <c r="G68" s="41">
        <f t="shared" si="13"/>
        <v>0</v>
      </c>
      <c r="H68" s="41">
        <f t="shared" si="13"/>
        <v>0</v>
      </c>
      <c r="I68" s="41">
        <f t="shared" si="13"/>
        <v>0</v>
      </c>
      <c r="J68" s="41">
        <f t="shared" si="13"/>
        <v>0</v>
      </c>
      <c r="K68" s="41">
        <f t="shared" si="13"/>
        <v>0</v>
      </c>
      <c r="L68" s="41">
        <f t="shared" si="13"/>
        <v>0</v>
      </c>
      <c r="M68" s="41">
        <f>SUM(F68)</f>
        <v>2957424.07</v>
      </c>
    </row>
    <row r="69" spans="1:13" s="25" customFormat="1" ht="12.75">
      <c r="A69" s="49"/>
      <c r="B69" s="27"/>
      <c r="C69" s="32"/>
      <c r="D69" s="32"/>
      <c r="E69" s="41"/>
      <c r="F69" s="41"/>
      <c r="G69" s="41"/>
      <c r="H69" s="41"/>
      <c r="I69" s="41"/>
      <c r="J69" s="29"/>
      <c r="K69" s="29"/>
      <c r="L69" s="29"/>
      <c r="M69" s="29"/>
    </row>
    <row r="70" spans="1:13" s="25" customFormat="1" ht="12.75">
      <c r="A70" s="49" t="s">
        <v>48</v>
      </c>
      <c r="B70" s="27" t="s">
        <v>3</v>
      </c>
      <c r="C70" s="28">
        <v>2009</v>
      </c>
      <c r="D70" s="28">
        <v>2011</v>
      </c>
      <c r="E70" s="41">
        <f>3534173-700000-59000-0.4</f>
        <v>2775172.6</v>
      </c>
      <c r="F70" s="41">
        <f>525000+2975000-700000-59000</f>
        <v>2741000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29">
        <f>SUM(F70)</f>
        <v>2741000</v>
      </c>
    </row>
    <row r="71" spans="1:13" s="25" customFormat="1" ht="12.75">
      <c r="A71" s="40"/>
      <c r="B71" s="27" t="s">
        <v>4</v>
      </c>
      <c r="C71" s="32"/>
      <c r="D71" s="32"/>
      <c r="E71" s="41"/>
      <c r="F71" s="41"/>
      <c r="G71" s="41"/>
      <c r="H71" s="41"/>
      <c r="I71" s="41"/>
      <c r="J71" s="29"/>
      <c r="K71" s="29"/>
      <c r="L71" s="29"/>
      <c r="M71" s="29"/>
    </row>
    <row r="72" spans="1:13" s="25" customFormat="1" ht="12.75">
      <c r="A72" s="40"/>
      <c r="B72" s="27"/>
      <c r="C72" s="32"/>
      <c r="D72" s="32"/>
      <c r="E72" s="41"/>
      <c r="F72" s="41"/>
      <c r="G72" s="41"/>
      <c r="H72" s="41"/>
      <c r="I72" s="41"/>
      <c r="J72" s="29"/>
      <c r="K72" s="29"/>
      <c r="L72" s="29"/>
      <c r="M72" s="29"/>
    </row>
    <row r="73" spans="1:13" s="25" customFormat="1" ht="12.75">
      <c r="A73" s="50" t="s">
        <v>120</v>
      </c>
      <c r="B73" s="27" t="s">
        <v>6</v>
      </c>
      <c r="C73" s="27">
        <v>2009</v>
      </c>
      <c r="D73" s="27">
        <v>2011</v>
      </c>
      <c r="E73" s="41">
        <v>171000</v>
      </c>
      <c r="F73" s="41">
        <v>155000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29">
        <f>SUM(F73)</f>
        <v>155000</v>
      </c>
    </row>
    <row r="74" spans="1:13" s="25" customFormat="1" ht="12.75">
      <c r="A74" s="40"/>
      <c r="B74" s="27" t="s">
        <v>7</v>
      </c>
      <c r="C74" s="32"/>
      <c r="D74" s="32"/>
      <c r="E74" s="41"/>
      <c r="F74" s="41"/>
      <c r="G74" s="41"/>
      <c r="H74" s="41"/>
      <c r="I74" s="41"/>
      <c r="J74" s="29"/>
      <c r="K74" s="29"/>
      <c r="L74" s="29"/>
      <c r="M74" s="29"/>
    </row>
    <row r="75" spans="1:13" s="25" customFormat="1" ht="12.75">
      <c r="A75" s="40"/>
      <c r="B75" s="27" t="s">
        <v>8</v>
      </c>
      <c r="C75" s="32"/>
      <c r="D75" s="32"/>
      <c r="E75" s="41"/>
      <c r="F75" s="41"/>
      <c r="G75" s="41"/>
      <c r="H75" s="41"/>
      <c r="I75" s="41"/>
      <c r="J75" s="29"/>
      <c r="K75" s="29"/>
      <c r="L75" s="29"/>
      <c r="M75" s="29"/>
    </row>
    <row r="76" spans="1:13" s="25" customFormat="1" ht="12.75">
      <c r="A76" s="40"/>
      <c r="B76" s="27"/>
      <c r="C76" s="32"/>
      <c r="D76" s="32"/>
      <c r="E76" s="41"/>
      <c r="F76" s="41"/>
      <c r="G76" s="41"/>
      <c r="H76" s="41"/>
      <c r="I76" s="41"/>
      <c r="J76" s="29"/>
      <c r="K76" s="29"/>
      <c r="L76" s="29"/>
      <c r="M76" s="29"/>
    </row>
    <row r="77" spans="1:13" s="25" customFormat="1" ht="12.75">
      <c r="A77" s="49" t="s">
        <v>79</v>
      </c>
      <c r="B77" s="27" t="s">
        <v>44</v>
      </c>
      <c r="C77" s="27">
        <v>2009</v>
      </c>
      <c r="D77" s="27">
        <v>2011</v>
      </c>
      <c r="E77" s="41">
        <f>870000+64165.87-845134.68</f>
        <v>89031.18999999994</v>
      </c>
      <c r="F77" s="41">
        <f>48900+277100+185000+34000-81750-463250+61424.07</f>
        <v>61424.07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f>SUM(F77)</f>
        <v>61424.07</v>
      </c>
    </row>
    <row r="78" spans="1:13" s="25" customFormat="1" ht="12.75">
      <c r="A78" s="40"/>
      <c r="B78" s="27" t="s">
        <v>45</v>
      </c>
      <c r="C78" s="32"/>
      <c r="D78" s="32"/>
      <c r="E78" s="41"/>
      <c r="F78" s="41"/>
      <c r="G78" s="41"/>
      <c r="H78" s="41"/>
      <c r="I78" s="41"/>
      <c r="J78" s="29"/>
      <c r="K78" s="29"/>
      <c r="L78" s="29"/>
      <c r="M78" s="29"/>
    </row>
    <row r="79" spans="1:13" s="25" customFormat="1" ht="12.75">
      <c r="A79" s="51"/>
      <c r="B79" s="52" t="s">
        <v>46</v>
      </c>
      <c r="C79" s="45"/>
      <c r="D79" s="45"/>
      <c r="E79" s="43"/>
      <c r="F79" s="43"/>
      <c r="G79" s="43"/>
      <c r="H79" s="43"/>
      <c r="I79" s="43"/>
      <c r="J79" s="53"/>
      <c r="K79" s="53"/>
      <c r="L79" s="53"/>
      <c r="M79" s="53"/>
    </row>
    <row r="80" spans="1:13" s="12" customFormat="1" ht="13.5" thickBot="1">
      <c r="A80" s="194" t="s">
        <v>63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1:13" s="9" customFormat="1" ht="19.5" customHeight="1" thickBot="1">
      <c r="A81" s="135" t="s">
        <v>0</v>
      </c>
      <c r="B81" s="135" t="s">
        <v>2</v>
      </c>
      <c r="C81" s="142" t="s">
        <v>19</v>
      </c>
      <c r="D81" s="145"/>
      <c r="E81" s="135" t="s">
        <v>1</v>
      </c>
      <c r="F81" s="142" t="s">
        <v>68</v>
      </c>
      <c r="G81" s="142" t="s">
        <v>69</v>
      </c>
      <c r="H81" s="142" t="s">
        <v>70</v>
      </c>
      <c r="I81" s="142" t="s">
        <v>71</v>
      </c>
      <c r="J81" s="142" t="s">
        <v>72</v>
      </c>
      <c r="K81" s="142" t="s">
        <v>73</v>
      </c>
      <c r="L81" s="142" t="s">
        <v>74</v>
      </c>
      <c r="M81" s="151" t="s">
        <v>76</v>
      </c>
    </row>
    <row r="82" spans="1:13" s="9" customFormat="1" ht="18.75" customHeight="1" thickBot="1">
      <c r="A82" s="135"/>
      <c r="B82" s="135"/>
      <c r="C82" s="144"/>
      <c r="D82" s="146"/>
      <c r="E82" s="135"/>
      <c r="F82" s="143"/>
      <c r="G82" s="143"/>
      <c r="H82" s="143"/>
      <c r="I82" s="143"/>
      <c r="J82" s="143"/>
      <c r="K82" s="143"/>
      <c r="L82" s="143"/>
      <c r="M82" s="152"/>
    </row>
    <row r="83" spans="1:13" s="10" customFormat="1" ht="17.25" customHeight="1" thickBot="1">
      <c r="A83" s="135"/>
      <c r="B83" s="135"/>
      <c r="C83" s="8" t="s">
        <v>11</v>
      </c>
      <c r="D83" s="8" t="s">
        <v>12</v>
      </c>
      <c r="E83" s="135"/>
      <c r="F83" s="144"/>
      <c r="G83" s="144"/>
      <c r="H83" s="144"/>
      <c r="I83" s="144"/>
      <c r="J83" s="144"/>
      <c r="K83" s="144"/>
      <c r="L83" s="144"/>
      <c r="M83" s="153"/>
    </row>
    <row r="84" spans="1:13" s="25" customFormat="1" ht="12.75">
      <c r="A84" s="172" t="s">
        <v>75</v>
      </c>
      <c r="B84" s="173"/>
      <c r="C84" s="173"/>
      <c r="D84" s="174"/>
      <c r="E84" s="41">
        <f>SUM(E87)</f>
        <v>807906</v>
      </c>
      <c r="F84" s="41">
        <f>SUM(F87)</f>
        <v>800000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f>SUM(M87)</f>
        <v>800000</v>
      </c>
    </row>
    <row r="85" spans="1:13" s="25" customFormat="1" ht="29.25" customHeight="1">
      <c r="A85" s="137" t="s">
        <v>89</v>
      </c>
      <c r="B85" s="138"/>
      <c r="C85" s="138"/>
      <c r="D85" s="139"/>
      <c r="E85" s="41"/>
      <c r="F85" s="41"/>
      <c r="G85" s="41"/>
      <c r="H85" s="41"/>
      <c r="I85" s="41"/>
      <c r="J85" s="29"/>
      <c r="K85" s="29"/>
      <c r="L85" s="29"/>
      <c r="M85" s="29"/>
    </row>
    <row r="86" spans="1:13" s="25" customFormat="1" ht="12.75" customHeight="1">
      <c r="A86" s="132" t="s">
        <v>37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4"/>
    </row>
    <row r="87" spans="1:13" s="30" customFormat="1" ht="12.75">
      <c r="A87" s="54" t="s">
        <v>47</v>
      </c>
      <c r="B87" s="27" t="s">
        <v>44</v>
      </c>
      <c r="C87" s="55">
        <v>2010</v>
      </c>
      <c r="D87" s="55">
        <v>2011</v>
      </c>
      <c r="E87" s="56">
        <v>807906</v>
      </c>
      <c r="F87" s="56">
        <v>800000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56">
        <f>SUM(F87:L87)</f>
        <v>800000</v>
      </c>
    </row>
    <row r="88" spans="1:13" s="30" customFormat="1" ht="12.75">
      <c r="A88" s="26"/>
      <c r="B88" s="27" t="s">
        <v>45</v>
      </c>
      <c r="C88" s="57"/>
      <c r="D88" s="58"/>
      <c r="E88" s="29"/>
      <c r="F88" s="59"/>
      <c r="G88" s="60"/>
      <c r="H88" s="60"/>
      <c r="I88" s="60"/>
      <c r="J88" s="60"/>
      <c r="K88" s="60"/>
      <c r="L88" s="60"/>
      <c r="M88" s="29"/>
    </row>
    <row r="89" spans="1:13" s="30" customFormat="1" ht="12.75">
      <c r="A89" s="26"/>
      <c r="B89" s="27" t="s">
        <v>46</v>
      </c>
      <c r="C89" s="57"/>
      <c r="D89" s="58"/>
      <c r="E89" s="29"/>
      <c r="F89" s="59"/>
      <c r="G89" s="60"/>
      <c r="H89" s="60"/>
      <c r="I89" s="60"/>
      <c r="J89" s="60"/>
      <c r="K89" s="60"/>
      <c r="L89" s="60"/>
      <c r="M89" s="29"/>
    </row>
    <row r="90" spans="1:13" s="61" customFormat="1" ht="12.75">
      <c r="A90" s="140" t="s">
        <v>17</v>
      </c>
      <c r="B90" s="140"/>
      <c r="C90" s="140"/>
      <c r="D90" s="140"/>
      <c r="E90" s="17">
        <f aca="true" t="shared" si="14" ref="E90:M90">SUM(E93)</f>
        <v>20873300.21</v>
      </c>
      <c r="F90" s="17">
        <f t="shared" si="14"/>
        <v>8459260.649999999</v>
      </c>
      <c r="G90" s="17">
        <f t="shared" si="14"/>
        <v>8415993</v>
      </c>
      <c r="H90" s="17">
        <f t="shared" si="14"/>
        <v>0</v>
      </c>
      <c r="I90" s="17">
        <f t="shared" si="14"/>
        <v>0</v>
      </c>
      <c r="J90" s="17">
        <f t="shared" si="14"/>
        <v>0</v>
      </c>
      <c r="K90" s="17">
        <f t="shared" si="14"/>
        <v>0</v>
      </c>
      <c r="L90" s="17">
        <f t="shared" si="14"/>
        <v>0</v>
      </c>
      <c r="M90" s="17">
        <f t="shared" si="14"/>
        <v>16875253.65</v>
      </c>
    </row>
    <row r="91" spans="1:13" s="12" customFormat="1" ht="12.75">
      <c r="A91" s="184" t="s">
        <v>35</v>
      </c>
      <c r="B91" s="185"/>
      <c r="C91" s="185"/>
      <c r="D91" s="186"/>
      <c r="E91" s="43"/>
      <c r="F91" s="46"/>
      <c r="G91" s="47"/>
      <c r="H91" s="47"/>
      <c r="I91" s="47"/>
      <c r="J91" s="48"/>
      <c r="K91" s="48"/>
      <c r="L91" s="48"/>
      <c r="M91" s="48"/>
    </row>
    <row r="92" spans="1:13" s="25" customFormat="1" ht="12.75" customHeight="1">
      <c r="A92" s="147" t="s">
        <v>36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9"/>
    </row>
    <row r="93" spans="1:13" s="30" customFormat="1" ht="12.75">
      <c r="A93" s="54" t="s">
        <v>28</v>
      </c>
      <c r="B93" s="62"/>
      <c r="C93" s="55">
        <v>2009</v>
      </c>
      <c r="D93" s="55">
        <v>2012</v>
      </c>
      <c r="E93" s="56">
        <f aca="true" t="shared" si="15" ref="E93:L93">SUM(E95,E99,E103,E107)</f>
        <v>20873300.21</v>
      </c>
      <c r="F93" s="56">
        <f>SUM(F95,F99,F103,F107)</f>
        <v>8459260.649999999</v>
      </c>
      <c r="G93" s="56">
        <f t="shared" si="15"/>
        <v>8415993</v>
      </c>
      <c r="H93" s="56">
        <f t="shared" si="15"/>
        <v>0</v>
      </c>
      <c r="I93" s="56">
        <f t="shared" si="15"/>
        <v>0</v>
      </c>
      <c r="J93" s="56">
        <f t="shared" si="15"/>
        <v>0</v>
      </c>
      <c r="K93" s="56">
        <f t="shared" si="15"/>
        <v>0</v>
      </c>
      <c r="L93" s="56">
        <f t="shared" si="15"/>
        <v>0</v>
      </c>
      <c r="M93" s="56">
        <f>SUM(F93:G93)</f>
        <v>16875253.65</v>
      </c>
    </row>
    <row r="94" spans="1:13" s="30" customFormat="1" ht="12.75">
      <c r="A94" s="26"/>
      <c r="B94" s="27"/>
      <c r="C94" s="28"/>
      <c r="D94" s="28"/>
      <c r="E94" s="29"/>
      <c r="F94" s="29"/>
      <c r="G94" s="29"/>
      <c r="H94" s="29"/>
      <c r="I94" s="29"/>
      <c r="J94" s="29"/>
      <c r="K94" s="29"/>
      <c r="L94" s="29"/>
      <c r="M94" s="29"/>
    </row>
    <row r="95" spans="1:13" s="30" customFormat="1" ht="12.75">
      <c r="A95" s="31" t="s">
        <v>29</v>
      </c>
      <c r="B95" s="27" t="s">
        <v>6</v>
      </c>
      <c r="C95" s="28">
        <v>2009</v>
      </c>
      <c r="D95" s="28">
        <v>2012</v>
      </c>
      <c r="E95" s="29">
        <f>9246816+353002.64-54426.71+1681881.07-345068.44</f>
        <v>10882204.56</v>
      </c>
      <c r="F95" s="29">
        <f>2105000+350002.64-12551.14-38875.57+1400000</f>
        <v>3803575.93</v>
      </c>
      <c r="G95" s="29">
        <f>3322000+281881.07</f>
        <v>3603881.07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f>SUM(F95:G95)</f>
        <v>7407457</v>
      </c>
    </row>
    <row r="96" spans="1:13" s="30" customFormat="1" ht="12.75">
      <c r="A96" s="26"/>
      <c r="B96" s="27" t="s">
        <v>7</v>
      </c>
      <c r="C96" s="32"/>
      <c r="D96" s="27"/>
      <c r="E96" s="29"/>
      <c r="F96" s="29"/>
      <c r="G96" s="29"/>
      <c r="H96" s="29"/>
      <c r="I96" s="29"/>
      <c r="J96" s="29"/>
      <c r="K96" s="29"/>
      <c r="L96" s="29"/>
      <c r="M96" s="29"/>
    </row>
    <row r="97" spans="1:13" s="30" customFormat="1" ht="12.75">
      <c r="A97" s="26"/>
      <c r="B97" s="27" t="s">
        <v>8</v>
      </c>
      <c r="C97" s="32"/>
      <c r="D97" s="27"/>
      <c r="E97" s="29"/>
      <c r="F97" s="29"/>
      <c r="G97" s="29"/>
      <c r="H97" s="29"/>
      <c r="I97" s="29"/>
      <c r="J97" s="29"/>
      <c r="K97" s="29"/>
      <c r="L97" s="29"/>
      <c r="M97" s="29"/>
    </row>
    <row r="98" spans="1:13" s="30" customFormat="1" ht="12.75">
      <c r="A98" s="26"/>
      <c r="B98" s="27"/>
      <c r="C98" s="32"/>
      <c r="D98" s="27"/>
      <c r="E98" s="29"/>
      <c r="F98" s="29"/>
      <c r="G98" s="29"/>
      <c r="H98" s="29"/>
      <c r="I98" s="29"/>
      <c r="J98" s="29"/>
      <c r="K98" s="29"/>
      <c r="L98" s="29"/>
      <c r="M98" s="29"/>
    </row>
    <row r="99" spans="1:13" s="30" customFormat="1" ht="12.75">
      <c r="A99" s="63" t="s">
        <v>117</v>
      </c>
      <c r="B99" s="27" t="s">
        <v>44</v>
      </c>
      <c r="C99" s="28">
        <v>2009</v>
      </c>
      <c r="D99" s="28">
        <v>2012</v>
      </c>
      <c r="E99" s="29">
        <v>5161080</v>
      </c>
      <c r="F99" s="29">
        <v>2605000</v>
      </c>
      <c r="G99" s="29">
        <v>2479403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f>SUM(F99:G99)</f>
        <v>5084403</v>
      </c>
    </row>
    <row r="100" spans="1:13" s="30" customFormat="1" ht="12.75">
      <c r="A100" s="64" t="s">
        <v>118</v>
      </c>
      <c r="B100" s="27" t="s">
        <v>45</v>
      </c>
      <c r="C100" s="32"/>
      <c r="D100" s="27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s="30" customFormat="1" ht="12.75">
      <c r="A101" s="26"/>
      <c r="B101" s="27" t="s">
        <v>46</v>
      </c>
      <c r="C101" s="32"/>
      <c r="D101" s="27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s="30" customFormat="1" ht="12.75">
      <c r="A102" s="26"/>
      <c r="B102" s="27"/>
      <c r="C102" s="32"/>
      <c r="D102" s="27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s="30" customFormat="1" ht="12.75">
      <c r="A103" s="63" t="s">
        <v>119</v>
      </c>
      <c r="B103" s="27" t="s">
        <v>6</v>
      </c>
      <c r="C103" s="28">
        <v>2009</v>
      </c>
      <c r="D103" s="28">
        <v>2012</v>
      </c>
      <c r="E103" s="29">
        <f>4019000-223684.35</f>
        <v>3795315.65</v>
      </c>
      <c r="F103" s="29">
        <f>1000000+58196.72</f>
        <v>1058196.72</v>
      </c>
      <c r="G103" s="29">
        <f>2614590-281881.07</f>
        <v>2332708.93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f>SUM(F103:G103)</f>
        <v>3390905.6500000004</v>
      </c>
    </row>
    <row r="104" spans="1:13" s="30" customFormat="1" ht="12.75">
      <c r="A104" s="64"/>
      <c r="B104" s="27" t="s">
        <v>7</v>
      </c>
      <c r="C104" s="32"/>
      <c r="D104" s="28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s="30" customFormat="1" ht="12.75">
      <c r="A105" s="26"/>
      <c r="B105" s="27" t="s">
        <v>8</v>
      </c>
      <c r="C105" s="32"/>
      <c r="D105" s="28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s="30" customFormat="1" ht="12.75">
      <c r="A106" s="26"/>
      <c r="B106" s="27"/>
      <c r="C106" s="32"/>
      <c r="D106" s="28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s="30" customFormat="1" ht="12.75">
      <c r="A107" s="31" t="s">
        <v>30</v>
      </c>
      <c r="B107" s="27" t="s">
        <v>3</v>
      </c>
      <c r="C107" s="28">
        <v>2009</v>
      </c>
      <c r="D107" s="28">
        <v>2011</v>
      </c>
      <c r="E107" s="29">
        <v>1034700</v>
      </c>
      <c r="F107" s="29">
        <v>992488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f>SUM(F107:G107)</f>
        <v>992488</v>
      </c>
    </row>
    <row r="108" spans="1:13" s="30" customFormat="1" ht="12.75">
      <c r="A108" s="26"/>
      <c r="B108" s="27" t="s">
        <v>4</v>
      </c>
      <c r="C108" s="32"/>
      <c r="D108" s="28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2.75" customHeight="1">
      <c r="A109" s="190" t="s">
        <v>62</v>
      </c>
      <c r="B109" s="190"/>
      <c r="C109" s="190"/>
      <c r="D109" s="190"/>
      <c r="E109" s="65" t="s">
        <v>78</v>
      </c>
      <c r="F109" s="65" t="s">
        <v>78</v>
      </c>
      <c r="G109" s="65" t="s">
        <v>78</v>
      </c>
      <c r="H109" s="65" t="s">
        <v>78</v>
      </c>
      <c r="I109" s="65" t="s">
        <v>78</v>
      </c>
      <c r="J109" s="65" t="s">
        <v>78</v>
      </c>
      <c r="K109" s="65" t="s">
        <v>78</v>
      </c>
      <c r="L109" s="65" t="s">
        <v>78</v>
      </c>
      <c r="M109" s="65" t="s">
        <v>78</v>
      </c>
    </row>
    <row r="110" spans="1:13" ht="12.75">
      <c r="A110" s="188" t="s">
        <v>21</v>
      </c>
      <c r="B110" s="188"/>
      <c r="C110" s="188"/>
      <c r="D110" s="188"/>
      <c r="E110" s="66" t="s">
        <v>78</v>
      </c>
      <c r="F110" s="66" t="s">
        <v>78</v>
      </c>
      <c r="G110" s="66" t="s">
        <v>78</v>
      </c>
      <c r="H110" s="66" t="s">
        <v>78</v>
      </c>
      <c r="I110" s="66" t="s">
        <v>78</v>
      </c>
      <c r="J110" s="66" t="s">
        <v>78</v>
      </c>
      <c r="K110" s="66" t="s">
        <v>78</v>
      </c>
      <c r="L110" s="66" t="s">
        <v>78</v>
      </c>
      <c r="M110" s="66" t="s">
        <v>78</v>
      </c>
    </row>
    <row r="111" spans="1:13" ht="12.75">
      <c r="A111" s="188" t="s">
        <v>22</v>
      </c>
      <c r="B111" s="188"/>
      <c r="C111" s="188"/>
      <c r="D111" s="191"/>
      <c r="E111" s="66" t="s">
        <v>78</v>
      </c>
      <c r="F111" s="66" t="s">
        <v>78</v>
      </c>
      <c r="G111" s="66" t="s">
        <v>78</v>
      </c>
      <c r="H111" s="66" t="s">
        <v>78</v>
      </c>
      <c r="I111" s="66" t="s">
        <v>78</v>
      </c>
      <c r="J111" s="66" t="s">
        <v>78</v>
      </c>
      <c r="K111" s="66" t="s">
        <v>78</v>
      </c>
      <c r="L111" s="66" t="s">
        <v>78</v>
      </c>
      <c r="M111" s="66" t="s">
        <v>78</v>
      </c>
    </row>
    <row r="112" spans="1:13" ht="12.75" customHeight="1">
      <c r="A112" s="190" t="s">
        <v>61</v>
      </c>
      <c r="B112" s="190"/>
      <c r="C112" s="190"/>
      <c r="D112" s="190"/>
      <c r="E112" s="67">
        <f aca="true" t="shared" si="16" ref="E112:M112">SUM(E113,E120)</f>
        <v>305869039.46999997</v>
      </c>
      <c r="F112" s="67">
        <f t="shared" si="16"/>
        <v>44625950.88</v>
      </c>
      <c r="G112" s="67">
        <f>SUM(G113,G120)</f>
        <v>66126346</v>
      </c>
      <c r="H112" s="67">
        <f t="shared" si="16"/>
        <v>31327678</v>
      </c>
      <c r="I112" s="67">
        <f t="shared" si="16"/>
        <v>26701589</v>
      </c>
      <c r="J112" s="67">
        <f t="shared" si="16"/>
        <v>24661726</v>
      </c>
      <c r="K112" s="67">
        <f t="shared" si="16"/>
        <v>26128126</v>
      </c>
      <c r="L112" s="67">
        <f t="shared" si="16"/>
        <v>19309829</v>
      </c>
      <c r="M112" s="67">
        <f t="shared" si="16"/>
        <v>238881244.88</v>
      </c>
    </row>
    <row r="113" spans="1:13" s="12" customFormat="1" ht="12.75" customHeight="1">
      <c r="A113" s="189" t="s">
        <v>21</v>
      </c>
      <c r="B113" s="189"/>
      <c r="C113" s="189"/>
      <c r="D113" s="189"/>
      <c r="E113" s="68">
        <f aca="true" t="shared" si="17" ref="E113:M113">SUM(E114,)</f>
        <v>3089113</v>
      </c>
      <c r="F113" s="68">
        <f t="shared" si="17"/>
        <v>1734377</v>
      </c>
      <c r="G113" s="68">
        <f t="shared" si="17"/>
        <v>0</v>
      </c>
      <c r="H113" s="68">
        <f t="shared" si="17"/>
        <v>0</v>
      </c>
      <c r="I113" s="68">
        <f t="shared" si="17"/>
        <v>0</v>
      </c>
      <c r="J113" s="68">
        <f t="shared" si="17"/>
        <v>0</v>
      </c>
      <c r="K113" s="68">
        <f t="shared" si="17"/>
        <v>0</v>
      </c>
      <c r="L113" s="68">
        <f t="shared" si="17"/>
        <v>0</v>
      </c>
      <c r="M113" s="68">
        <f t="shared" si="17"/>
        <v>1734377</v>
      </c>
    </row>
    <row r="114" spans="1:13" s="25" customFormat="1" ht="12.75" customHeight="1">
      <c r="A114" s="140" t="s">
        <v>32</v>
      </c>
      <c r="B114" s="140"/>
      <c r="C114" s="140"/>
      <c r="D114" s="140"/>
      <c r="E114" s="17">
        <f>SUM(E117,)</f>
        <v>3089113</v>
      </c>
      <c r="F114" s="17">
        <f aca="true" t="shared" si="18" ref="F114:L114">SUM(F117)</f>
        <v>1734377</v>
      </c>
      <c r="G114" s="17">
        <f t="shared" si="18"/>
        <v>0</v>
      </c>
      <c r="H114" s="17">
        <f t="shared" si="18"/>
        <v>0</v>
      </c>
      <c r="I114" s="17">
        <f t="shared" si="18"/>
        <v>0</v>
      </c>
      <c r="J114" s="17">
        <f t="shared" si="18"/>
        <v>0</v>
      </c>
      <c r="K114" s="17">
        <f t="shared" si="18"/>
        <v>0</v>
      </c>
      <c r="L114" s="17">
        <f t="shared" si="18"/>
        <v>0</v>
      </c>
      <c r="M114" s="17">
        <f>SUM(M117,)</f>
        <v>1734377</v>
      </c>
    </row>
    <row r="115" spans="1:13" s="25" customFormat="1" ht="25.5" customHeight="1">
      <c r="A115" s="136" t="s">
        <v>18</v>
      </c>
      <c r="B115" s="136"/>
      <c r="C115" s="136"/>
      <c r="D115" s="136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1:13" s="25" customFormat="1" ht="12.75" customHeight="1">
      <c r="A116" s="137" t="s">
        <v>37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9"/>
    </row>
    <row r="117" spans="1:13" s="25" customFormat="1" ht="12.75" customHeight="1">
      <c r="A117" s="70" t="s">
        <v>122</v>
      </c>
      <c r="B117" s="71" t="s">
        <v>44</v>
      </c>
      <c r="C117" s="72" t="s">
        <v>33</v>
      </c>
      <c r="D117" s="72" t="s">
        <v>34</v>
      </c>
      <c r="E117" s="73">
        <v>3089113</v>
      </c>
      <c r="F117" s="73">
        <f>1314505+419872</f>
        <v>1734377</v>
      </c>
      <c r="G117" s="74" t="s">
        <v>78</v>
      </c>
      <c r="H117" s="74" t="s">
        <v>78</v>
      </c>
      <c r="I117" s="74" t="s">
        <v>78</v>
      </c>
      <c r="J117" s="74" t="s">
        <v>78</v>
      </c>
      <c r="K117" s="74" t="s">
        <v>78</v>
      </c>
      <c r="L117" s="74" t="s">
        <v>78</v>
      </c>
      <c r="M117" s="75">
        <f>SUM(F117:G117)</f>
        <v>1734377</v>
      </c>
    </row>
    <row r="118" spans="1:13" s="25" customFormat="1" ht="12.75" customHeight="1">
      <c r="A118" s="76" t="s">
        <v>121</v>
      </c>
      <c r="B118" s="77" t="s">
        <v>45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1:13" s="25" customFormat="1" ht="12.75" customHeight="1">
      <c r="A119" s="78"/>
      <c r="B119" s="79" t="s">
        <v>46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3" s="12" customFormat="1" ht="12.75" customHeight="1">
      <c r="A120" s="193" t="s">
        <v>22</v>
      </c>
      <c r="B120" s="193"/>
      <c r="C120" s="193"/>
      <c r="D120" s="193"/>
      <c r="E120" s="80">
        <f aca="true" t="shared" si="19" ref="E120:M120">SUM(E121,E153,E164,E186,E202,E214,E220)</f>
        <v>302779926.46999997</v>
      </c>
      <c r="F120" s="80">
        <f t="shared" si="19"/>
        <v>42891573.88</v>
      </c>
      <c r="G120" s="80">
        <f t="shared" si="19"/>
        <v>66126346</v>
      </c>
      <c r="H120" s="80">
        <f t="shared" si="19"/>
        <v>31327678</v>
      </c>
      <c r="I120" s="80">
        <f t="shared" si="19"/>
        <v>26701589</v>
      </c>
      <c r="J120" s="80">
        <f t="shared" si="19"/>
        <v>24661726</v>
      </c>
      <c r="K120" s="80">
        <f t="shared" si="19"/>
        <v>26128126</v>
      </c>
      <c r="L120" s="80">
        <f t="shared" si="19"/>
        <v>19309829</v>
      </c>
      <c r="M120" s="80">
        <f t="shared" si="19"/>
        <v>237146867.88</v>
      </c>
    </row>
    <row r="121" spans="1:13" s="25" customFormat="1" ht="12.75">
      <c r="A121" s="192" t="s">
        <v>52</v>
      </c>
      <c r="B121" s="192"/>
      <c r="C121" s="192"/>
      <c r="D121" s="192"/>
      <c r="E121" s="81">
        <f aca="true" t="shared" si="20" ref="E121:M121">SUM(E124,E128,E131,E139,E141,E144,E151)</f>
        <v>145103490.23</v>
      </c>
      <c r="F121" s="81">
        <f t="shared" si="20"/>
        <v>13763336.75</v>
      </c>
      <c r="G121" s="81">
        <f t="shared" si="20"/>
        <v>24564425</v>
      </c>
      <c r="H121" s="81">
        <f t="shared" si="20"/>
        <v>27857963</v>
      </c>
      <c r="I121" s="81">
        <f t="shared" si="20"/>
        <v>19157589</v>
      </c>
      <c r="J121" s="81">
        <f t="shared" si="20"/>
        <v>16161726</v>
      </c>
      <c r="K121" s="81">
        <f t="shared" si="20"/>
        <v>22608931</v>
      </c>
      <c r="L121" s="81">
        <f t="shared" si="20"/>
        <v>16515822</v>
      </c>
      <c r="M121" s="81">
        <f t="shared" si="20"/>
        <v>140629792.75</v>
      </c>
    </row>
    <row r="122" spans="1:13" s="25" customFormat="1" ht="24.75" customHeight="1">
      <c r="A122" s="195" t="s">
        <v>40</v>
      </c>
      <c r="B122" s="196"/>
      <c r="C122" s="196"/>
      <c r="D122" s="197"/>
      <c r="E122" s="82"/>
      <c r="F122" s="82"/>
      <c r="G122" s="82"/>
      <c r="H122" s="82"/>
      <c r="I122" s="82"/>
      <c r="J122" s="83"/>
      <c r="K122" s="83"/>
      <c r="L122" s="83"/>
      <c r="M122" s="83"/>
    </row>
    <row r="123" spans="1:13" s="25" customFormat="1" ht="12.75" customHeight="1">
      <c r="A123" s="137" t="s">
        <v>36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9"/>
    </row>
    <row r="124" spans="1:13" s="30" customFormat="1" ht="12.75">
      <c r="A124" s="84" t="s">
        <v>38</v>
      </c>
      <c r="B124" s="71" t="s">
        <v>44</v>
      </c>
      <c r="C124" s="85">
        <v>2007</v>
      </c>
      <c r="D124" s="85">
        <v>2016</v>
      </c>
      <c r="E124" s="75">
        <f>34000000+1000000+3342411-1600.01</f>
        <v>38340810.99</v>
      </c>
      <c r="F124" s="75">
        <v>1700000</v>
      </c>
      <c r="G124" s="75">
        <v>0</v>
      </c>
      <c r="H124" s="75">
        <v>1688889</v>
      </c>
      <c r="I124" s="75">
        <f>8000000+157589+3342411</f>
        <v>11500000</v>
      </c>
      <c r="J124" s="75">
        <f>13066152-1688889+399256</f>
        <v>11776519</v>
      </c>
      <c r="K124" s="75">
        <f>10000000+2000000-399256-157589</f>
        <v>11443155</v>
      </c>
      <c r="L124" s="75">
        <v>0</v>
      </c>
      <c r="M124" s="75">
        <f>SUM(F124:L124)</f>
        <v>38108563</v>
      </c>
    </row>
    <row r="125" spans="1:13" s="30" customFormat="1" ht="12.75" customHeight="1">
      <c r="A125" s="31" t="s">
        <v>58</v>
      </c>
      <c r="B125" s="77" t="s">
        <v>45</v>
      </c>
      <c r="C125" s="86"/>
      <c r="D125" s="87"/>
      <c r="E125" s="29"/>
      <c r="F125" s="29"/>
      <c r="G125" s="29"/>
      <c r="H125" s="29"/>
      <c r="I125" s="29"/>
      <c r="J125" s="29"/>
      <c r="K125" s="29"/>
      <c r="L125" s="88"/>
      <c r="M125" s="89"/>
    </row>
    <row r="126" spans="1:13" s="30" customFormat="1" ht="12.75">
      <c r="A126" s="26"/>
      <c r="B126" s="77" t="s">
        <v>46</v>
      </c>
      <c r="C126" s="86"/>
      <c r="D126" s="87"/>
      <c r="E126" s="29"/>
      <c r="F126" s="29"/>
      <c r="G126" s="29"/>
      <c r="H126" s="29"/>
      <c r="I126" s="29"/>
      <c r="J126" s="29"/>
      <c r="K126" s="29"/>
      <c r="L126" s="88"/>
      <c r="M126" s="89"/>
    </row>
    <row r="127" spans="1:13" s="30" customFormat="1" ht="12.75">
      <c r="A127" s="26"/>
      <c r="B127" s="27"/>
      <c r="C127" s="28"/>
      <c r="D127" s="57"/>
      <c r="E127" s="29"/>
      <c r="F127" s="29"/>
      <c r="G127" s="29"/>
      <c r="H127" s="29"/>
      <c r="I127" s="29"/>
      <c r="J127" s="29"/>
      <c r="K127" s="29"/>
      <c r="L127" s="90"/>
      <c r="M127" s="29"/>
    </row>
    <row r="128" spans="1:13" s="30" customFormat="1" ht="12.75">
      <c r="A128" s="54" t="s">
        <v>96</v>
      </c>
      <c r="B128" s="62" t="s">
        <v>3</v>
      </c>
      <c r="C128" s="55">
        <v>2006</v>
      </c>
      <c r="D128" s="91">
        <v>2013</v>
      </c>
      <c r="E128" s="56">
        <f>27507946-185000+185000-11187543.25+700000-173000-4640000</f>
        <v>12207402.75</v>
      </c>
      <c r="F128" s="56">
        <f>2500000-185000+185000+312456.75+700000</f>
        <v>3512456.75</v>
      </c>
      <c r="G128" s="56">
        <v>3000000</v>
      </c>
      <c r="H128" s="56">
        <f>3000000+7000000+227300-4640000</f>
        <v>5587300</v>
      </c>
      <c r="I128" s="56">
        <f>6000000+5500000-11500000</f>
        <v>0</v>
      </c>
      <c r="J128" s="56">
        <v>0</v>
      </c>
      <c r="K128" s="56">
        <v>0</v>
      </c>
      <c r="L128" s="56">
        <v>0</v>
      </c>
      <c r="M128" s="56">
        <f>SUM(F128:L128)</f>
        <v>12099756.75</v>
      </c>
    </row>
    <row r="129" spans="1:13" s="30" customFormat="1" ht="12.75">
      <c r="A129" s="26"/>
      <c r="B129" s="27" t="s">
        <v>4</v>
      </c>
      <c r="C129" s="28"/>
      <c r="D129" s="28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s="30" customFormat="1" ht="12.75">
      <c r="A130" s="26"/>
      <c r="B130" s="27"/>
      <c r="C130" s="28"/>
      <c r="D130" s="28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s="30" customFormat="1" ht="12.75">
      <c r="A131" s="54" t="s">
        <v>59</v>
      </c>
      <c r="B131" s="71" t="s">
        <v>44</v>
      </c>
      <c r="C131" s="55">
        <v>2008</v>
      </c>
      <c r="D131" s="55">
        <v>2013</v>
      </c>
      <c r="E131" s="56">
        <f>SUM(E134:E137)</f>
        <v>22017479.92</v>
      </c>
      <c r="F131" s="56">
        <f>SUM(F134)</f>
        <v>8300880</v>
      </c>
      <c r="G131" s="56">
        <f>SUM(G134:G137)</f>
        <v>300000</v>
      </c>
      <c r="H131" s="56">
        <f>SUM(H137)</f>
        <v>12241774</v>
      </c>
      <c r="I131" s="56">
        <v>0</v>
      </c>
      <c r="J131" s="56">
        <v>0</v>
      </c>
      <c r="K131" s="56">
        <v>0</v>
      </c>
      <c r="L131" s="56">
        <v>0</v>
      </c>
      <c r="M131" s="56">
        <f>SUM(F131:L131)</f>
        <v>20842654</v>
      </c>
    </row>
    <row r="132" spans="1:13" s="30" customFormat="1" ht="12.75">
      <c r="A132" s="26" t="s">
        <v>9</v>
      </c>
      <c r="B132" s="77" t="s">
        <v>45</v>
      </c>
      <c r="C132" s="28"/>
      <c r="D132" s="28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s="30" customFormat="1" ht="12.75">
      <c r="A133" s="26"/>
      <c r="B133" s="77" t="s">
        <v>46</v>
      </c>
      <c r="C133" s="28"/>
      <c r="D133" s="28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s="30" customFormat="1" ht="12.75">
      <c r="A134" s="26" t="s">
        <v>49</v>
      </c>
      <c r="B134" s="27"/>
      <c r="C134" s="28">
        <v>2008</v>
      </c>
      <c r="D134" s="28">
        <v>2011</v>
      </c>
      <c r="E134" s="29">
        <f>17463035-304000-1400000-4271444.33-1928555.67-83329.08</f>
        <v>9475705.92</v>
      </c>
      <c r="F134" s="29">
        <f>10000000+4880-304000-1400000</f>
        <v>8300880</v>
      </c>
      <c r="G134" s="29">
        <f>17463035-1258155-10004880-4271444.33-1928555.67</f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f>SUM(F134:L134)</f>
        <v>8300880</v>
      </c>
    </row>
    <row r="135" spans="1:13" s="30" customFormat="1" ht="12.75">
      <c r="A135" s="26"/>
      <c r="B135" s="27"/>
      <c r="C135" s="28"/>
      <c r="D135" s="28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s="30" customFormat="1" ht="12.75">
      <c r="A136" s="26"/>
      <c r="B136" s="27"/>
      <c r="C136" s="28"/>
      <c r="D136" s="28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s="30" customFormat="1" ht="12.75">
      <c r="A137" s="26" t="s">
        <v>123</v>
      </c>
      <c r="B137" s="27"/>
      <c r="C137" s="28">
        <v>2012</v>
      </c>
      <c r="D137" s="28">
        <v>2013</v>
      </c>
      <c r="E137" s="29">
        <v>12541774</v>
      </c>
      <c r="F137" s="29">
        <v>0</v>
      </c>
      <c r="G137" s="29">
        <f>200000+100000</f>
        <v>300000</v>
      </c>
      <c r="H137" s="29">
        <f>7000000+5341765+9-100000</f>
        <v>12241774</v>
      </c>
      <c r="I137" s="29">
        <v>0</v>
      </c>
      <c r="J137" s="29">
        <v>0</v>
      </c>
      <c r="K137" s="29">
        <v>0</v>
      </c>
      <c r="L137" s="29">
        <v>0</v>
      </c>
      <c r="M137" s="29">
        <f>SUM(F137:L137)</f>
        <v>12541774</v>
      </c>
    </row>
    <row r="138" spans="1:13" s="30" customFormat="1" ht="12.75">
      <c r="A138" s="26"/>
      <c r="B138" s="27"/>
      <c r="C138" s="28"/>
      <c r="D138" s="28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s="30" customFormat="1" ht="12.75">
      <c r="A139" s="54" t="s">
        <v>97</v>
      </c>
      <c r="B139" s="62" t="s">
        <v>3</v>
      </c>
      <c r="C139" s="55">
        <v>2008</v>
      </c>
      <c r="D139" s="55">
        <v>2014</v>
      </c>
      <c r="E139" s="56">
        <f>20419902+327589-300000-2740000</f>
        <v>17707491</v>
      </c>
      <c r="F139" s="56">
        <f>200000+80000-280000</f>
        <v>0</v>
      </c>
      <c r="G139" s="56">
        <f>19414425-1050000-300000-2740000</f>
        <v>15324425</v>
      </c>
      <c r="H139" s="56">
        <v>0</v>
      </c>
      <c r="I139" s="56">
        <v>1657589</v>
      </c>
      <c r="J139" s="56">
        <v>0</v>
      </c>
      <c r="K139" s="56">
        <v>0</v>
      </c>
      <c r="L139" s="56">
        <v>0</v>
      </c>
      <c r="M139" s="56">
        <f>SUM(F139:L139)</f>
        <v>16982014</v>
      </c>
    </row>
    <row r="140" spans="1:13" s="30" customFormat="1" ht="12.75">
      <c r="A140" s="26"/>
      <c r="B140" s="27" t="s">
        <v>4</v>
      </c>
      <c r="C140" s="28"/>
      <c r="D140" s="28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s="30" customFormat="1" ht="12.75">
      <c r="A141" s="54" t="s">
        <v>98</v>
      </c>
      <c r="B141" s="71" t="s">
        <v>44</v>
      </c>
      <c r="C141" s="55">
        <v>2008</v>
      </c>
      <c r="D141" s="55">
        <v>2014</v>
      </c>
      <c r="E141" s="56">
        <f>6907906+6000000</f>
        <v>12907906</v>
      </c>
      <c r="F141" s="56">
        <v>0</v>
      </c>
      <c r="G141" s="56">
        <v>3200000</v>
      </c>
      <c r="H141" s="56">
        <v>3700000</v>
      </c>
      <c r="I141" s="56">
        <v>6000000</v>
      </c>
      <c r="J141" s="56">
        <v>0</v>
      </c>
      <c r="K141" s="56">
        <v>0</v>
      </c>
      <c r="L141" s="56">
        <v>0</v>
      </c>
      <c r="M141" s="56">
        <f>SUM(F141:L141)</f>
        <v>12900000</v>
      </c>
    </row>
    <row r="142" spans="1:13" s="30" customFormat="1" ht="12.75">
      <c r="A142" s="26" t="s">
        <v>124</v>
      </c>
      <c r="B142" s="77" t="s">
        <v>45</v>
      </c>
      <c r="C142" s="28"/>
      <c r="D142" s="28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s="30" customFormat="1" ht="12.75">
      <c r="A143" s="26"/>
      <c r="B143" s="77" t="s">
        <v>46</v>
      </c>
      <c r="C143" s="28"/>
      <c r="D143" s="28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s="30" customFormat="1" ht="12.75">
      <c r="A144" s="54" t="s">
        <v>100</v>
      </c>
      <c r="B144" s="62" t="s">
        <v>3</v>
      </c>
      <c r="C144" s="55">
        <v>2010</v>
      </c>
      <c r="D144" s="55">
        <v>2013</v>
      </c>
      <c r="E144" s="56">
        <f aca="true" t="shared" si="21" ref="E144:M144">SUM(E147:E149)</f>
        <v>9855594.57</v>
      </c>
      <c r="F144" s="56">
        <f t="shared" si="21"/>
        <v>250000</v>
      </c>
      <c r="G144" s="56">
        <f t="shared" si="21"/>
        <v>2740000</v>
      </c>
      <c r="H144" s="56">
        <f t="shared" si="21"/>
        <v>4640000</v>
      </c>
      <c r="I144" s="56">
        <f t="shared" si="21"/>
        <v>0</v>
      </c>
      <c r="J144" s="56">
        <f t="shared" si="21"/>
        <v>0</v>
      </c>
      <c r="K144" s="56">
        <f t="shared" si="21"/>
        <v>0</v>
      </c>
      <c r="L144" s="56">
        <f t="shared" si="21"/>
        <v>0</v>
      </c>
      <c r="M144" s="56">
        <f t="shared" si="21"/>
        <v>7630000</v>
      </c>
    </row>
    <row r="145" spans="1:13" s="30" customFormat="1" ht="12.75">
      <c r="A145" s="26" t="s">
        <v>99</v>
      </c>
      <c r="B145" s="27" t="s">
        <v>4</v>
      </c>
      <c r="C145" s="28"/>
      <c r="D145" s="28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s="30" customFormat="1" ht="12.75">
      <c r="A146" s="26"/>
      <c r="B146" s="27"/>
      <c r="C146" s="28"/>
      <c r="D146" s="28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s="30" customFormat="1" ht="12.75">
      <c r="A147" s="31" t="s">
        <v>41</v>
      </c>
      <c r="B147" s="27"/>
      <c r="C147" s="28">
        <v>2010</v>
      </c>
      <c r="D147" s="28">
        <v>2011</v>
      </c>
      <c r="E147" s="29">
        <v>2475594.57</v>
      </c>
      <c r="F147" s="29">
        <v>250000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f>SUM(F147:L147)</f>
        <v>250000</v>
      </c>
    </row>
    <row r="148" spans="1:13" s="30" customFormat="1" ht="12.75">
      <c r="A148" s="31"/>
      <c r="B148" s="27"/>
      <c r="C148" s="28"/>
      <c r="D148" s="28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s="30" customFormat="1" ht="12.75">
      <c r="A149" s="31" t="s">
        <v>93</v>
      </c>
      <c r="B149" s="27"/>
      <c r="C149" s="28">
        <v>2012</v>
      </c>
      <c r="D149" s="28">
        <v>2013</v>
      </c>
      <c r="E149" s="29">
        <v>7380000</v>
      </c>
      <c r="F149" s="29">
        <v>0</v>
      </c>
      <c r="G149" s="29">
        <v>2740000</v>
      </c>
      <c r="H149" s="29">
        <v>4640000</v>
      </c>
      <c r="I149" s="29">
        <v>0</v>
      </c>
      <c r="J149" s="29">
        <v>0</v>
      </c>
      <c r="K149" s="29">
        <v>0</v>
      </c>
      <c r="L149" s="29">
        <v>0</v>
      </c>
      <c r="M149" s="29">
        <f>SUM(F149:L149)</f>
        <v>7380000</v>
      </c>
    </row>
    <row r="150" spans="1:13" s="30" customFormat="1" ht="12.75">
      <c r="A150" s="92"/>
      <c r="B150" s="52"/>
      <c r="C150" s="93"/>
      <c r="D150" s="9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s="30" customFormat="1" ht="12.75">
      <c r="A151" s="94" t="s">
        <v>101</v>
      </c>
      <c r="B151" s="77" t="s">
        <v>3</v>
      </c>
      <c r="C151" s="86">
        <v>2015</v>
      </c>
      <c r="D151" s="95">
        <v>2017</v>
      </c>
      <c r="E151" s="29">
        <f>33086000-1019195</f>
        <v>32066805</v>
      </c>
      <c r="F151" s="29">
        <v>0</v>
      </c>
      <c r="G151" s="29">
        <v>0</v>
      </c>
      <c r="H151" s="29">
        <v>0</v>
      </c>
      <c r="I151" s="29">
        <v>0</v>
      </c>
      <c r="J151" s="29">
        <f>5100000-214793-500000</f>
        <v>4385207</v>
      </c>
      <c r="K151" s="29">
        <f>11500000+184971-519195</f>
        <v>11165776</v>
      </c>
      <c r="L151" s="29">
        <f>16200793+315029</f>
        <v>16515822</v>
      </c>
      <c r="M151" s="29">
        <f>SUM(F151:L151)</f>
        <v>32066805</v>
      </c>
    </row>
    <row r="152" spans="1:13" s="30" customFormat="1" ht="12.75">
      <c r="A152" s="96"/>
      <c r="B152" s="77" t="s">
        <v>4</v>
      </c>
      <c r="C152" s="86"/>
      <c r="D152" s="95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s="30" customFormat="1" ht="12.75">
      <c r="A153" s="140" t="s">
        <v>53</v>
      </c>
      <c r="B153" s="140"/>
      <c r="C153" s="140"/>
      <c r="D153" s="140"/>
      <c r="E153" s="97">
        <f aca="true" t="shared" si="22" ref="E153:M153">SUM(E156)</f>
        <v>5994386</v>
      </c>
      <c r="F153" s="97">
        <f t="shared" si="22"/>
        <v>0</v>
      </c>
      <c r="G153" s="97">
        <f t="shared" si="22"/>
        <v>0</v>
      </c>
      <c r="H153" s="97">
        <f t="shared" si="22"/>
        <v>400000</v>
      </c>
      <c r="I153" s="97">
        <f t="shared" si="22"/>
        <v>3544000</v>
      </c>
      <c r="J153" s="97">
        <f t="shared" si="22"/>
        <v>2000000</v>
      </c>
      <c r="K153" s="97">
        <f t="shared" si="22"/>
        <v>0</v>
      </c>
      <c r="L153" s="97">
        <f t="shared" si="22"/>
        <v>0</v>
      </c>
      <c r="M153" s="97">
        <f t="shared" si="22"/>
        <v>5944000</v>
      </c>
    </row>
    <row r="154" spans="1:13" s="30" customFormat="1" ht="12.75">
      <c r="A154" s="150" t="s">
        <v>23</v>
      </c>
      <c r="B154" s="150"/>
      <c r="C154" s="150"/>
      <c r="D154" s="150"/>
      <c r="E154" s="98"/>
      <c r="F154" s="53"/>
      <c r="G154" s="53"/>
      <c r="H154" s="53"/>
      <c r="I154" s="53"/>
      <c r="J154" s="53"/>
      <c r="K154" s="53"/>
      <c r="L154" s="53"/>
      <c r="M154" s="53"/>
    </row>
    <row r="155" spans="1:13" s="25" customFormat="1" ht="12.75" customHeight="1">
      <c r="A155" s="147" t="s">
        <v>37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9"/>
    </row>
    <row r="156" spans="1:13" s="30" customFormat="1" ht="12.75">
      <c r="A156" s="26" t="s">
        <v>102</v>
      </c>
      <c r="B156" s="71" t="s">
        <v>44</v>
      </c>
      <c r="C156" s="28">
        <v>2009</v>
      </c>
      <c r="D156" s="28">
        <v>2015</v>
      </c>
      <c r="E156" s="29">
        <f>6000000-5614</f>
        <v>5994386</v>
      </c>
      <c r="F156" s="29">
        <v>0</v>
      </c>
      <c r="G156" s="29">
        <v>0</v>
      </c>
      <c r="H156" s="29">
        <v>400000</v>
      </c>
      <c r="I156" s="29">
        <v>3544000</v>
      </c>
      <c r="J156" s="29">
        <v>2000000</v>
      </c>
      <c r="K156" s="29">
        <v>0</v>
      </c>
      <c r="L156" s="29">
        <v>0</v>
      </c>
      <c r="M156" s="29">
        <f>SUM(F156:L156)</f>
        <v>5944000</v>
      </c>
    </row>
    <row r="157" spans="1:13" s="30" customFormat="1" ht="12.75">
      <c r="A157" s="26"/>
      <c r="B157" s="77" t="s">
        <v>45</v>
      </c>
      <c r="C157" s="28"/>
      <c r="D157" s="28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s="30" customFormat="1" ht="12.75">
      <c r="A158" s="99"/>
      <c r="B158" s="100" t="s">
        <v>46</v>
      </c>
      <c r="C158" s="93"/>
      <c r="D158" s="9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1:13" s="30" customFormat="1" ht="12.75">
      <c r="A159" s="101"/>
      <c r="B159" s="102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1:13" s="12" customFormat="1" ht="13.5" thickBot="1">
      <c r="A160" s="194" t="s">
        <v>64</v>
      </c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</row>
    <row r="161" spans="1:13" s="9" customFormat="1" ht="19.5" customHeight="1" thickBot="1">
      <c r="A161" s="135" t="s">
        <v>0</v>
      </c>
      <c r="B161" s="135" t="s">
        <v>2</v>
      </c>
      <c r="C161" s="142" t="s">
        <v>19</v>
      </c>
      <c r="D161" s="145"/>
      <c r="E161" s="135" t="s">
        <v>1</v>
      </c>
      <c r="F161" s="142" t="s">
        <v>68</v>
      </c>
      <c r="G161" s="142" t="s">
        <v>69</v>
      </c>
      <c r="H161" s="142" t="s">
        <v>70</v>
      </c>
      <c r="I161" s="142" t="s">
        <v>71</v>
      </c>
      <c r="J161" s="142" t="s">
        <v>72</v>
      </c>
      <c r="K161" s="142" t="s">
        <v>73</v>
      </c>
      <c r="L161" s="142" t="s">
        <v>74</v>
      </c>
      <c r="M161" s="151" t="s">
        <v>76</v>
      </c>
    </row>
    <row r="162" spans="1:13" s="9" customFormat="1" ht="18.75" customHeight="1" thickBot="1">
      <c r="A162" s="135"/>
      <c r="B162" s="135"/>
      <c r="C162" s="144"/>
      <c r="D162" s="146"/>
      <c r="E162" s="135"/>
      <c r="F162" s="143"/>
      <c r="G162" s="143"/>
      <c r="H162" s="143"/>
      <c r="I162" s="143"/>
      <c r="J162" s="143"/>
      <c r="K162" s="143"/>
      <c r="L162" s="143"/>
      <c r="M162" s="152"/>
    </row>
    <row r="163" spans="1:13" s="10" customFormat="1" ht="17.25" customHeight="1" thickBot="1">
      <c r="A163" s="135"/>
      <c r="B163" s="135"/>
      <c r="C163" s="8" t="s">
        <v>11</v>
      </c>
      <c r="D163" s="8" t="s">
        <v>12</v>
      </c>
      <c r="E163" s="135"/>
      <c r="F163" s="144"/>
      <c r="G163" s="144"/>
      <c r="H163" s="144"/>
      <c r="I163" s="144"/>
      <c r="J163" s="144"/>
      <c r="K163" s="144"/>
      <c r="L163" s="144"/>
      <c r="M163" s="153"/>
    </row>
    <row r="164" spans="1:13" s="30" customFormat="1" ht="12.75">
      <c r="A164" s="141" t="s">
        <v>54</v>
      </c>
      <c r="B164" s="141"/>
      <c r="C164" s="141"/>
      <c r="D164" s="141"/>
      <c r="E164" s="105">
        <f aca="true" t="shared" si="23" ref="E164:J164">SUM(E167,E171,E174,E177,E180,E183)</f>
        <v>85469717.05</v>
      </c>
      <c r="F164" s="105">
        <f>SUM(F167,F171,F174,F177,F180,F183)</f>
        <v>15842087.13</v>
      </c>
      <c r="G164" s="105">
        <f>SUM(G167,G171,G174,G177,G180,G183)</f>
        <v>16853855</v>
      </c>
      <c r="H164" s="105">
        <f t="shared" si="23"/>
        <v>530000</v>
      </c>
      <c r="I164" s="105">
        <f t="shared" si="23"/>
        <v>2500000</v>
      </c>
      <c r="J164" s="105">
        <f t="shared" si="23"/>
        <v>2000000</v>
      </c>
      <c r="K164" s="105">
        <f>SUM(K167,K171,K174,K177,K180)</f>
        <v>0</v>
      </c>
      <c r="L164" s="105">
        <f>SUM(L167,L171,L174,L177,L180)</f>
        <v>0</v>
      </c>
      <c r="M164" s="105">
        <f>SUM(M167,M171,M174,M177,M180,M183)</f>
        <v>37725942.13</v>
      </c>
    </row>
    <row r="165" spans="1:13" s="30" customFormat="1" ht="12.75">
      <c r="A165" s="150" t="s">
        <v>24</v>
      </c>
      <c r="B165" s="150"/>
      <c r="C165" s="150"/>
      <c r="D165" s="150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13" s="25" customFormat="1" ht="12.75" customHeight="1">
      <c r="A166" s="147" t="s">
        <v>36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9"/>
    </row>
    <row r="167" spans="1:13" s="25" customFormat="1" ht="12.75">
      <c r="A167" s="40" t="s">
        <v>103</v>
      </c>
      <c r="B167" s="71" t="s">
        <v>44</v>
      </c>
      <c r="C167" s="28">
        <v>2008</v>
      </c>
      <c r="D167" s="28">
        <v>2011</v>
      </c>
      <c r="E167" s="41">
        <f>11859952+362087.13+126757.41</f>
        <v>12348796.540000001</v>
      </c>
      <c r="F167" s="41">
        <f>8230000+362087.13</f>
        <v>8592087.13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29">
        <f>SUM(F167:L167)</f>
        <v>8592087.13</v>
      </c>
    </row>
    <row r="168" spans="1:13" s="25" customFormat="1" ht="12.75">
      <c r="A168" s="40"/>
      <c r="B168" s="77" t="s">
        <v>45</v>
      </c>
      <c r="C168" s="28"/>
      <c r="D168" s="28"/>
      <c r="E168" s="41"/>
      <c r="F168" s="41"/>
      <c r="G168" s="41"/>
      <c r="H168" s="41"/>
      <c r="I168" s="41"/>
      <c r="J168" s="29"/>
      <c r="K168" s="29"/>
      <c r="L168" s="29"/>
      <c r="M168" s="29"/>
    </row>
    <row r="169" spans="1:13" s="25" customFormat="1" ht="12.75">
      <c r="A169" s="40"/>
      <c r="B169" s="77" t="s">
        <v>46</v>
      </c>
      <c r="C169" s="28"/>
      <c r="D169" s="28"/>
      <c r="E169" s="41"/>
      <c r="F169" s="41"/>
      <c r="G169" s="41"/>
      <c r="H169" s="41"/>
      <c r="I169" s="41"/>
      <c r="J169" s="29"/>
      <c r="K169" s="29"/>
      <c r="L169" s="29"/>
      <c r="M169" s="29"/>
    </row>
    <row r="170" spans="1:13" s="25" customFormat="1" ht="12.75">
      <c r="A170" s="51"/>
      <c r="B170" s="52"/>
      <c r="C170" s="93"/>
      <c r="D170" s="93"/>
      <c r="E170" s="43"/>
      <c r="F170" s="43"/>
      <c r="G170" s="43"/>
      <c r="H170" s="43"/>
      <c r="I170" s="43"/>
      <c r="J170" s="53"/>
      <c r="K170" s="53"/>
      <c r="L170" s="53"/>
      <c r="M170" s="53"/>
    </row>
    <row r="171" spans="1:13" s="25" customFormat="1" ht="12.75">
      <c r="A171" s="106" t="s">
        <v>42</v>
      </c>
      <c r="B171" s="71" t="s">
        <v>44</v>
      </c>
      <c r="C171" s="55">
        <v>1979</v>
      </c>
      <c r="D171" s="55">
        <v>2012</v>
      </c>
      <c r="E171" s="41">
        <f>61710384-600000-17303.49</f>
        <v>61093080.51</v>
      </c>
      <c r="F171" s="41">
        <f>6000000-600000</f>
        <v>5400000</v>
      </c>
      <c r="G171" s="41">
        <v>11793855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29">
        <f>SUM(F171:L171)</f>
        <v>17193855</v>
      </c>
    </row>
    <row r="172" spans="1:13" s="25" customFormat="1" ht="12.75">
      <c r="A172" s="40"/>
      <c r="B172" s="77" t="s">
        <v>45</v>
      </c>
      <c r="C172" s="28"/>
      <c r="D172" s="28"/>
      <c r="E172" s="41"/>
      <c r="F172" s="41"/>
      <c r="G172" s="41"/>
      <c r="H172" s="41"/>
      <c r="I172" s="41"/>
      <c r="J172" s="29"/>
      <c r="K172" s="29"/>
      <c r="L172" s="29"/>
      <c r="M172" s="29"/>
    </row>
    <row r="173" spans="1:13" s="25" customFormat="1" ht="12.75">
      <c r="A173" s="40"/>
      <c r="B173" s="77" t="s">
        <v>46</v>
      </c>
      <c r="C173" s="28"/>
      <c r="D173" s="28"/>
      <c r="E173" s="41"/>
      <c r="F173" s="41"/>
      <c r="G173" s="41"/>
      <c r="H173" s="41"/>
      <c r="I173" s="41"/>
      <c r="J173" s="29"/>
      <c r="K173" s="29"/>
      <c r="L173" s="29"/>
      <c r="M173" s="29"/>
    </row>
    <row r="174" spans="1:13" s="25" customFormat="1" ht="12.75">
      <c r="A174" s="106" t="s">
        <v>43</v>
      </c>
      <c r="B174" s="71" t="s">
        <v>44</v>
      </c>
      <c r="C174" s="55">
        <v>2008</v>
      </c>
      <c r="D174" s="55">
        <v>2015</v>
      </c>
      <c r="E174" s="44">
        <f>5747636-24700</f>
        <v>5722936</v>
      </c>
      <c r="F174" s="44">
        <v>1200000</v>
      </c>
      <c r="G174" s="44">
        <v>0</v>
      </c>
      <c r="H174" s="44">
        <v>0</v>
      </c>
      <c r="I174" s="44">
        <v>2500000</v>
      </c>
      <c r="J174" s="56">
        <v>2000000</v>
      </c>
      <c r="K174" s="44">
        <v>0</v>
      </c>
      <c r="L174" s="44">
        <v>0</v>
      </c>
      <c r="M174" s="56">
        <f>SUM(F174:L174)</f>
        <v>5700000</v>
      </c>
    </row>
    <row r="175" spans="1:13" s="25" customFormat="1" ht="12.75">
      <c r="A175" s="40"/>
      <c r="B175" s="77" t="s">
        <v>45</v>
      </c>
      <c r="C175" s="28"/>
      <c r="D175" s="28"/>
      <c r="E175" s="41"/>
      <c r="F175" s="41"/>
      <c r="G175" s="41"/>
      <c r="H175" s="41"/>
      <c r="I175" s="41"/>
      <c r="J175" s="29"/>
      <c r="K175" s="29"/>
      <c r="L175" s="29"/>
      <c r="M175" s="29"/>
    </row>
    <row r="176" spans="1:13" s="25" customFormat="1" ht="12.75">
      <c r="A176" s="107"/>
      <c r="B176" s="77" t="s">
        <v>46</v>
      </c>
      <c r="C176" s="28"/>
      <c r="D176" s="28"/>
      <c r="E176" s="41"/>
      <c r="F176" s="41"/>
      <c r="G176" s="41"/>
      <c r="H176" s="41"/>
      <c r="I176" s="41"/>
      <c r="J176" s="29"/>
      <c r="K176" s="29"/>
      <c r="L176" s="29"/>
      <c r="M176" s="29"/>
    </row>
    <row r="177" spans="1:13" s="25" customFormat="1" ht="12.75">
      <c r="A177" s="106" t="s">
        <v>104</v>
      </c>
      <c r="B177" s="71" t="s">
        <v>44</v>
      </c>
      <c r="C177" s="55">
        <v>2010</v>
      </c>
      <c r="D177" s="55">
        <v>2012</v>
      </c>
      <c r="E177" s="108">
        <f>4000000-4000000</f>
        <v>0</v>
      </c>
      <c r="F177" s="108">
        <f>400000-400000</f>
        <v>0</v>
      </c>
      <c r="G177" s="108">
        <f>3170000-3170000</f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56">
        <f>SUM(F177:L177)</f>
        <v>0</v>
      </c>
    </row>
    <row r="178" spans="1:13" s="25" customFormat="1" ht="12.75">
      <c r="A178" s="40"/>
      <c r="B178" s="77" t="s">
        <v>45</v>
      </c>
      <c r="C178" s="28"/>
      <c r="D178" s="28"/>
      <c r="E178" s="41"/>
      <c r="F178" s="41"/>
      <c r="G178" s="41"/>
      <c r="H178" s="41"/>
      <c r="I178" s="41"/>
      <c r="J178" s="29"/>
      <c r="K178" s="29"/>
      <c r="L178" s="29"/>
      <c r="M178" s="29"/>
    </row>
    <row r="179" spans="1:13" s="25" customFormat="1" ht="12.75">
      <c r="A179" s="40"/>
      <c r="B179" s="77" t="s">
        <v>46</v>
      </c>
      <c r="C179" s="28"/>
      <c r="D179" s="28"/>
      <c r="E179" s="41"/>
      <c r="F179" s="41"/>
      <c r="G179" s="41"/>
      <c r="H179" s="41"/>
      <c r="I179" s="41"/>
      <c r="J179" s="29"/>
      <c r="K179" s="29"/>
      <c r="L179" s="29"/>
      <c r="M179" s="29"/>
    </row>
    <row r="180" spans="1:13" s="25" customFormat="1" ht="12.75">
      <c r="A180" s="106" t="s">
        <v>105</v>
      </c>
      <c r="B180" s="71" t="s">
        <v>44</v>
      </c>
      <c r="C180" s="55">
        <v>2009</v>
      </c>
      <c r="D180" s="55">
        <v>2012</v>
      </c>
      <c r="E180" s="44">
        <f>4805000-96</f>
        <v>4804904</v>
      </c>
      <c r="F180" s="44">
        <v>200000</v>
      </c>
      <c r="G180" s="44">
        <v>4540000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56">
        <f>SUM(F180:L180)</f>
        <v>4740000</v>
      </c>
    </row>
    <row r="181" spans="1:13" s="25" customFormat="1" ht="12.75">
      <c r="A181" s="40"/>
      <c r="B181" s="77" t="s">
        <v>45</v>
      </c>
      <c r="C181" s="28"/>
      <c r="D181" s="28"/>
      <c r="E181" s="41"/>
      <c r="F181" s="41"/>
      <c r="G181" s="41"/>
      <c r="H181" s="41"/>
      <c r="I181" s="41"/>
      <c r="J181" s="29"/>
      <c r="K181" s="29"/>
      <c r="L181" s="29"/>
      <c r="M181" s="29"/>
    </row>
    <row r="182" spans="1:13" s="25" customFormat="1" ht="12.75">
      <c r="A182" s="40"/>
      <c r="B182" s="77" t="s">
        <v>46</v>
      </c>
      <c r="C182" s="28"/>
      <c r="D182" s="28"/>
      <c r="E182" s="41"/>
      <c r="F182" s="41"/>
      <c r="G182" s="41"/>
      <c r="H182" s="41"/>
      <c r="I182" s="41"/>
      <c r="J182" s="29"/>
      <c r="K182" s="29"/>
      <c r="L182" s="29"/>
      <c r="M182" s="29"/>
    </row>
    <row r="183" spans="1:13" s="25" customFormat="1" ht="12.75">
      <c r="A183" s="106" t="s">
        <v>84</v>
      </c>
      <c r="B183" s="71" t="s">
        <v>44</v>
      </c>
      <c r="C183" s="55">
        <v>2011</v>
      </c>
      <c r="D183" s="55">
        <v>2013</v>
      </c>
      <c r="E183" s="44">
        <v>1500000</v>
      </c>
      <c r="F183" s="44">
        <v>450000</v>
      </c>
      <c r="G183" s="44">
        <v>520000</v>
      </c>
      <c r="H183" s="44">
        <v>530000</v>
      </c>
      <c r="I183" s="44">
        <v>0</v>
      </c>
      <c r="J183" s="44">
        <v>0</v>
      </c>
      <c r="K183" s="44">
        <v>0</v>
      </c>
      <c r="L183" s="44">
        <v>0</v>
      </c>
      <c r="M183" s="56">
        <f>SUM(F183:L183)</f>
        <v>1500000</v>
      </c>
    </row>
    <row r="184" spans="1:13" s="25" customFormat="1" ht="12.75">
      <c r="A184" s="40"/>
      <c r="B184" s="77" t="s">
        <v>45</v>
      </c>
      <c r="C184" s="28"/>
      <c r="D184" s="28"/>
      <c r="E184" s="41"/>
      <c r="F184" s="41"/>
      <c r="G184" s="41"/>
      <c r="H184" s="41"/>
      <c r="I184" s="41"/>
      <c r="J184" s="29"/>
      <c r="K184" s="29"/>
      <c r="L184" s="29"/>
      <c r="M184" s="29"/>
    </row>
    <row r="185" spans="1:13" s="25" customFormat="1" ht="12.75">
      <c r="A185" s="109"/>
      <c r="B185" s="77" t="s">
        <v>46</v>
      </c>
      <c r="C185" s="93"/>
      <c r="D185" s="93"/>
      <c r="E185" s="43"/>
      <c r="F185" s="43"/>
      <c r="G185" s="43"/>
      <c r="H185" s="43"/>
      <c r="I185" s="43"/>
      <c r="J185" s="53"/>
      <c r="K185" s="53"/>
      <c r="L185" s="53"/>
      <c r="M185" s="53"/>
    </row>
    <row r="186" spans="1:13" s="25" customFormat="1" ht="12.75">
      <c r="A186" s="140" t="s">
        <v>55</v>
      </c>
      <c r="B186" s="140"/>
      <c r="C186" s="140"/>
      <c r="D186" s="140"/>
      <c r="E186" s="97">
        <f>SUM(E189,E193,E196,E199)</f>
        <v>48395912.19</v>
      </c>
      <c r="F186" s="97">
        <f aca="true" t="shared" si="24" ref="F186:M186">SUM(F189,F193,F196,F199)</f>
        <v>12755000</v>
      </c>
      <c r="G186" s="97">
        <f t="shared" si="24"/>
        <v>12832866</v>
      </c>
      <c r="H186" s="97">
        <f t="shared" si="24"/>
        <v>1200000</v>
      </c>
      <c r="I186" s="97">
        <f t="shared" si="24"/>
        <v>1000000</v>
      </c>
      <c r="J186" s="97">
        <f t="shared" si="24"/>
        <v>4000000</v>
      </c>
      <c r="K186" s="97">
        <f t="shared" si="24"/>
        <v>3000000</v>
      </c>
      <c r="L186" s="97">
        <f t="shared" si="24"/>
        <v>2794007</v>
      </c>
      <c r="M186" s="97">
        <f t="shared" si="24"/>
        <v>37581873</v>
      </c>
    </row>
    <row r="187" spans="1:13" s="25" customFormat="1" ht="26.25" customHeight="1">
      <c r="A187" s="136" t="s">
        <v>67</v>
      </c>
      <c r="B187" s="136"/>
      <c r="C187" s="136"/>
      <c r="D187" s="136"/>
      <c r="E187" s="98"/>
      <c r="F187" s="98"/>
      <c r="G187" s="98"/>
      <c r="H187" s="98"/>
      <c r="I187" s="98"/>
      <c r="J187" s="53"/>
      <c r="K187" s="53"/>
      <c r="L187" s="53"/>
      <c r="M187" s="53"/>
    </row>
    <row r="188" spans="1:13" s="25" customFormat="1" ht="12.75" customHeight="1">
      <c r="A188" s="137" t="s">
        <v>36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9"/>
    </row>
    <row r="189" spans="1:13" s="25" customFormat="1" ht="12.75">
      <c r="A189" s="106" t="s">
        <v>107</v>
      </c>
      <c r="B189" s="71" t="s">
        <v>44</v>
      </c>
      <c r="C189" s="55">
        <v>2004</v>
      </c>
      <c r="D189" s="55">
        <v>2012</v>
      </c>
      <c r="E189" s="44">
        <f>22658600+800000+200000+1578555.67+1449612.7</f>
        <v>26686768.37</v>
      </c>
      <c r="F189" s="44">
        <f>9800000+800000-250000</f>
        <v>10350000</v>
      </c>
      <c r="G189" s="44">
        <f>5112866+4271444.33+1828555.67</f>
        <v>11212866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56">
        <f>SUM(F189:L189)</f>
        <v>21562866</v>
      </c>
    </row>
    <row r="190" spans="1:13" s="25" customFormat="1" ht="12.75">
      <c r="A190" s="40" t="s">
        <v>106</v>
      </c>
      <c r="B190" s="77" t="s">
        <v>45</v>
      </c>
      <c r="C190" s="28"/>
      <c r="D190" s="28"/>
      <c r="E190" s="41"/>
      <c r="F190" s="41"/>
      <c r="G190" s="41"/>
      <c r="H190" s="41"/>
      <c r="I190" s="41"/>
      <c r="J190" s="29"/>
      <c r="K190" s="29"/>
      <c r="L190" s="29"/>
      <c r="M190" s="29"/>
    </row>
    <row r="191" spans="1:13" s="25" customFormat="1" ht="12.75">
      <c r="A191" s="40"/>
      <c r="B191" s="77" t="s">
        <v>46</v>
      </c>
      <c r="C191" s="28"/>
      <c r="D191" s="28"/>
      <c r="E191" s="41"/>
      <c r="F191" s="41"/>
      <c r="G191" s="41"/>
      <c r="H191" s="41"/>
      <c r="I191" s="41"/>
      <c r="J191" s="29"/>
      <c r="K191" s="29"/>
      <c r="L191" s="29"/>
      <c r="M191" s="29"/>
    </row>
    <row r="192" spans="1:13" s="25" customFormat="1" ht="12.75">
      <c r="A192" s="40"/>
      <c r="B192" s="27"/>
      <c r="C192" s="28"/>
      <c r="D192" s="28"/>
      <c r="E192" s="41"/>
      <c r="F192" s="41"/>
      <c r="G192" s="41"/>
      <c r="H192" s="41"/>
      <c r="I192" s="41"/>
      <c r="J192" s="29"/>
      <c r="K192" s="29"/>
      <c r="L192" s="29"/>
      <c r="M192" s="29"/>
    </row>
    <row r="193" spans="1:13" s="25" customFormat="1" ht="12.75">
      <c r="A193" s="106" t="s">
        <v>109</v>
      </c>
      <c r="B193" s="71" t="s">
        <v>44</v>
      </c>
      <c r="C193" s="55">
        <v>2008</v>
      </c>
      <c r="D193" s="55">
        <v>2017</v>
      </c>
      <c r="E193" s="44">
        <f>19804562+400000-550918.18</f>
        <v>19653643.82</v>
      </c>
      <c r="F193" s="44">
        <f>1000000+400000</f>
        <v>1400000</v>
      </c>
      <c r="G193" s="44">
        <v>1200000</v>
      </c>
      <c r="H193" s="44">
        <v>1200000</v>
      </c>
      <c r="I193" s="44">
        <v>1000000</v>
      </c>
      <c r="J193" s="56">
        <v>4000000</v>
      </c>
      <c r="K193" s="56">
        <v>3000000</v>
      </c>
      <c r="L193" s="56">
        <v>2794007</v>
      </c>
      <c r="M193" s="56">
        <f>SUM(F193:L193)</f>
        <v>14594007</v>
      </c>
    </row>
    <row r="194" spans="1:13" s="25" customFormat="1" ht="12.75">
      <c r="A194" s="49" t="s">
        <v>108</v>
      </c>
      <c r="B194" s="77" t="s">
        <v>45</v>
      </c>
      <c r="C194" s="28"/>
      <c r="D194" s="28"/>
      <c r="E194" s="41"/>
      <c r="F194" s="41"/>
      <c r="G194" s="41"/>
      <c r="H194" s="41"/>
      <c r="I194" s="41"/>
      <c r="J194" s="29"/>
      <c r="K194" s="29"/>
      <c r="L194" s="29"/>
      <c r="M194" s="29"/>
    </row>
    <row r="195" spans="1:13" s="25" customFormat="1" ht="12.75">
      <c r="A195" s="110"/>
      <c r="B195" s="52" t="s">
        <v>46</v>
      </c>
      <c r="C195" s="93"/>
      <c r="D195" s="93"/>
      <c r="E195" s="43"/>
      <c r="F195" s="43"/>
      <c r="G195" s="43"/>
      <c r="H195" s="43"/>
      <c r="I195" s="43"/>
      <c r="J195" s="53"/>
      <c r="K195" s="53"/>
      <c r="L195" s="53"/>
      <c r="M195" s="53"/>
    </row>
    <row r="196" spans="1:13" s="25" customFormat="1" ht="12.75">
      <c r="A196" s="32" t="s">
        <v>110</v>
      </c>
      <c r="B196" s="71" t="s">
        <v>44</v>
      </c>
      <c r="C196" s="28">
        <v>2010</v>
      </c>
      <c r="D196" s="28">
        <v>2012</v>
      </c>
      <c r="E196" s="41">
        <v>1720000</v>
      </c>
      <c r="F196" s="41">
        <v>1000000</v>
      </c>
      <c r="G196" s="41">
        <v>120000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56">
        <f>SUM(F196:L196)</f>
        <v>1120000</v>
      </c>
    </row>
    <row r="197" spans="1:13" s="25" customFormat="1" ht="12.75">
      <c r="A197" s="32" t="s">
        <v>111</v>
      </c>
      <c r="B197" s="77" t="s">
        <v>45</v>
      </c>
      <c r="C197" s="28"/>
      <c r="D197" s="28"/>
      <c r="E197" s="41"/>
      <c r="F197" s="41"/>
      <c r="G197" s="41"/>
      <c r="H197" s="41"/>
      <c r="I197" s="41"/>
      <c r="J197" s="29"/>
      <c r="K197" s="29"/>
      <c r="L197" s="29"/>
      <c r="M197" s="29"/>
    </row>
    <row r="198" spans="1:13" s="25" customFormat="1" ht="12.75">
      <c r="A198" s="32" t="s">
        <v>125</v>
      </c>
      <c r="B198" s="27" t="s">
        <v>46</v>
      </c>
      <c r="C198" s="28"/>
      <c r="D198" s="28"/>
      <c r="E198" s="41"/>
      <c r="F198" s="41"/>
      <c r="G198" s="41"/>
      <c r="H198" s="41"/>
      <c r="I198" s="41"/>
      <c r="J198" s="29"/>
      <c r="K198" s="29"/>
      <c r="L198" s="29"/>
      <c r="M198" s="29"/>
    </row>
    <row r="199" spans="1:13" s="25" customFormat="1" ht="12.75">
      <c r="A199" s="111" t="s">
        <v>91</v>
      </c>
      <c r="B199" s="71" t="s">
        <v>44</v>
      </c>
      <c r="C199" s="55">
        <v>2009</v>
      </c>
      <c r="D199" s="55">
        <v>2012</v>
      </c>
      <c r="E199" s="44">
        <v>335500</v>
      </c>
      <c r="F199" s="44">
        <v>5000</v>
      </c>
      <c r="G199" s="44">
        <v>300000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56">
        <f>SUM(F199:L199)</f>
        <v>305000</v>
      </c>
    </row>
    <row r="200" spans="1:13" s="25" customFormat="1" ht="12.75">
      <c r="A200" s="32"/>
      <c r="B200" s="77" t="s">
        <v>45</v>
      </c>
      <c r="C200" s="28"/>
      <c r="D200" s="28"/>
      <c r="E200" s="41"/>
      <c r="F200" s="41"/>
      <c r="G200" s="41"/>
      <c r="H200" s="41"/>
      <c r="I200" s="41"/>
      <c r="J200" s="29"/>
      <c r="K200" s="29"/>
      <c r="L200" s="29"/>
      <c r="M200" s="29"/>
    </row>
    <row r="201" spans="1:13" s="25" customFormat="1" ht="12.75">
      <c r="A201" s="32"/>
      <c r="B201" s="27" t="s">
        <v>46</v>
      </c>
      <c r="C201" s="28"/>
      <c r="D201" s="28"/>
      <c r="E201" s="41"/>
      <c r="F201" s="41"/>
      <c r="G201" s="41"/>
      <c r="H201" s="41"/>
      <c r="I201" s="41"/>
      <c r="J201" s="29"/>
      <c r="K201" s="29"/>
      <c r="L201" s="29"/>
      <c r="M201" s="29"/>
    </row>
    <row r="202" spans="1:13" s="25" customFormat="1" ht="12.75">
      <c r="A202" s="140" t="s">
        <v>56</v>
      </c>
      <c r="B202" s="140"/>
      <c r="C202" s="140"/>
      <c r="D202" s="140"/>
      <c r="E202" s="97">
        <f aca="true" t="shared" si="25" ref="E202:M202">SUM(E205,E211)</f>
        <v>8831672</v>
      </c>
      <c r="F202" s="97">
        <f t="shared" si="25"/>
        <v>322000</v>
      </c>
      <c r="G202" s="97">
        <f t="shared" si="25"/>
        <v>4245200</v>
      </c>
      <c r="H202" s="97">
        <f t="shared" si="25"/>
        <v>700000</v>
      </c>
      <c r="I202" s="97">
        <f t="shared" si="25"/>
        <v>500000</v>
      </c>
      <c r="J202" s="97">
        <f t="shared" si="25"/>
        <v>500000</v>
      </c>
      <c r="K202" s="97">
        <f t="shared" si="25"/>
        <v>519195</v>
      </c>
      <c r="L202" s="97">
        <f t="shared" si="25"/>
        <v>0</v>
      </c>
      <c r="M202" s="97">
        <f t="shared" si="25"/>
        <v>6786395</v>
      </c>
    </row>
    <row r="203" spans="1:13" s="25" customFormat="1" ht="16.5" customHeight="1">
      <c r="A203" s="136" t="s">
        <v>25</v>
      </c>
      <c r="B203" s="136"/>
      <c r="C203" s="136"/>
      <c r="D203" s="136"/>
      <c r="E203" s="98"/>
      <c r="F203" s="98"/>
      <c r="G203" s="98"/>
      <c r="H203" s="98"/>
      <c r="I203" s="43"/>
      <c r="J203" s="53"/>
      <c r="K203" s="53"/>
      <c r="L203" s="53"/>
      <c r="M203" s="53"/>
    </row>
    <row r="204" spans="1:13" s="25" customFormat="1" ht="12.75" customHeight="1">
      <c r="A204" s="132" t="s">
        <v>36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4"/>
    </row>
    <row r="205" spans="1:13" s="30" customFormat="1" ht="12.75">
      <c r="A205" s="112" t="s">
        <v>112</v>
      </c>
      <c r="B205" s="77" t="s">
        <v>44</v>
      </c>
      <c r="C205" s="27">
        <v>2002</v>
      </c>
      <c r="D205" s="27">
        <v>2016</v>
      </c>
      <c r="E205" s="113">
        <f>5533866+35000</f>
        <v>5568866</v>
      </c>
      <c r="F205" s="113">
        <f>287000+35000</f>
        <v>322000</v>
      </c>
      <c r="G205" s="113">
        <f>1500000-500000</f>
        <v>1000000</v>
      </c>
      <c r="H205" s="113">
        <f>1869715-1169715</f>
        <v>700000</v>
      </c>
      <c r="I205" s="41">
        <v>500000</v>
      </c>
      <c r="J205" s="41">
        <v>500000</v>
      </c>
      <c r="K205" s="41">
        <v>519195</v>
      </c>
      <c r="L205" s="41">
        <v>0</v>
      </c>
      <c r="M205" s="29">
        <f>SUM(F205:L205)</f>
        <v>3541195</v>
      </c>
    </row>
    <row r="206" spans="1:13" s="30" customFormat="1" ht="12.75">
      <c r="A206" s="114" t="s">
        <v>113</v>
      </c>
      <c r="B206" s="77" t="s">
        <v>45</v>
      </c>
      <c r="C206" s="27"/>
      <c r="D206" s="27"/>
      <c r="E206" s="113"/>
      <c r="F206" s="113"/>
      <c r="G206" s="113"/>
      <c r="H206" s="113"/>
      <c r="I206" s="113"/>
      <c r="J206" s="115"/>
      <c r="K206" s="115"/>
      <c r="L206" s="115"/>
      <c r="M206" s="115"/>
    </row>
    <row r="207" spans="1:13" s="30" customFormat="1" ht="12.75">
      <c r="A207" s="114" t="s">
        <v>114</v>
      </c>
      <c r="B207" s="77" t="s">
        <v>46</v>
      </c>
      <c r="C207" s="27"/>
      <c r="D207" s="27"/>
      <c r="E207" s="113"/>
      <c r="F207" s="113"/>
      <c r="G207" s="113"/>
      <c r="H207" s="113"/>
      <c r="I207" s="113"/>
      <c r="J207" s="115"/>
      <c r="K207" s="115"/>
      <c r="L207" s="115"/>
      <c r="M207" s="115"/>
    </row>
    <row r="208" spans="1:13" s="30" customFormat="1" ht="12.75">
      <c r="A208" s="26" t="s">
        <v>50</v>
      </c>
      <c r="B208" s="27"/>
      <c r="C208" s="27"/>
      <c r="D208" s="27"/>
      <c r="E208" s="113"/>
      <c r="F208" s="113"/>
      <c r="G208" s="113"/>
      <c r="H208" s="113"/>
      <c r="I208" s="113"/>
      <c r="J208" s="115"/>
      <c r="K208" s="115"/>
      <c r="L208" s="115"/>
      <c r="M208" s="115"/>
    </row>
    <row r="209" spans="1:13" s="30" customFormat="1" ht="12.75">
      <c r="A209" s="116"/>
      <c r="B209" s="27"/>
      <c r="C209" s="27"/>
      <c r="D209" s="27"/>
      <c r="E209" s="113"/>
      <c r="F209" s="113"/>
      <c r="G209" s="113"/>
      <c r="H209" s="113"/>
      <c r="I209" s="113"/>
      <c r="J209" s="115"/>
      <c r="K209" s="115"/>
      <c r="L209" s="115"/>
      <c r="M209" s="115"/>
    </row>
    <row r="210" spans="1:13" s="30" customFormat="1" ht="12.75">
      <c r="A210" s="117"/>
      <c r="B210" s="52"/>
      <c r="C210" s="52"/>
      <c r="D210" s="52"/>
      <c r="E210" s="118"/>
      <c r="F210" s="118"/>
      <c r="G210" s="118"/>
      <c r="H210" s="118"/>
      <c r="I210" s="118"/>
      <c r="J210" s="119"/>
      <c r="K210" s="119"/>
      <c r="L210" s="119"/>
      <c r="M210" s="119"/>
    </row>
    <row r="211" spans="1:13" s="30" customFormat="1" ht="12.75">
      <c r="A211" s="120" t="s">
        <v>116</v>
      </c>
      <c r="B211" s="71" t="s">
        <v>44</v>
      </c>
      <c r="C211" s="121">
        <v>2009</v>
      </c>
      <c r="D211" s="121">
        <v>2012</v>
      </c>
      <c r="E211" s="122">
        <v>3262806</v>
      </c>
      <c r="F211" s="122">
        <v>0</v>
      </c>
      <c r="G211" s="122">
        <v>3245200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56">
        <f>SUM(F211:L211)</f>
        <v>3245200</v>
      </c>
    </row>
    <row r="212" spans="1:13" s="30" customFormat="1" ht="12.75">
      <c r="A212" s="26" t="s">
        <v>115</v>
      </c>
      <c r="B212" s="77" t="s">
        <v>45</v>
      </c>
      <c r="C212" s="28"/>
      <c r="D212" s="28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s="30" customFormat="1" ht="12.75">
      <c r="A213" s="31"/>
      <c r="B213" s="77" t="s">
        <v>46</v>
      </c>
      <c r="C213" s="28"/>
      <c r="D213" s="28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s="30" customFormat="1" ht="12.75">
      <c r="A214" s="140" t="s">
        <v>81</v>
      </c>
      <c r="B214" s="140"/>
      <c r="C214" s="140"/>
      <c r="D214" s="140"/>
      <c r="E214" s="56">
        <f>SUM(E217)</f>
        <v>798686</v>
      </c>
      <c r="F214" s="56">
        <f>SUM(F217)</f>
        <v>150000</v>
      </c>
      <c r="G214" s="56">
        <f>SUM(G217)</f>
        <v>648686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f>SUM(M217)</f>
        <v>798686</v>
      </c>
    </row>
    <row r="215" spans="1:13" s="30" customFormat="1" ht="12.75" customHeight="1">
      <c r="A215" s="137" t="s">
        <v>82</v>
      </c>
      <c r="B215" s="138"/>
      <c r="C215" s="138"/>
      <c r="D215" s="13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s="25" customFormat="1" ht="12.75" customHeight="1">
      <c r="A216" s="132" t="s">
        <v>37</v>
      </c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4"/>
    </row>
    <row r="217" spans="1:13" s="30" customFormat="1" ht="12.75">
      <c r="A217" s="26" t="s">
        <v>80</v>
      </c>
      <c r="B217" s="77" t="s">
        <v>44</v>
      </c>
      <c r="C217" s="28">
        <v>2011</v>
      </c>
      <c r="D217" s="28">
        <v>2012</v>
      </c>
      <c r="E217" s="29">
        <v>798686</v>
      </c>
      <c r="F217" s="29">
        <v>150000</v>
      </c>
      <c r="G217" s="29">
        <v>648686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f>SUM(F217:L217)</f>
        <v>798686</v>
      </c>
    </row>
    <row r="218" spans="1:13" s="30" customFormat="1" ht="12.75">
      <c r="A218" s="26"/>
      <c r="B218" s="77" t="s">
        <v>45</v>
      </c>
      <c r="C218" s="28"/>
      <c r="D218" s="28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s="30" customFormat="1" ht="12.75">
      <c r="A219" s="26"/>
      <c r="B219" s="77" t="s">
        <v>46</v>
      </c>
      <c r="C219" s="28"/>
      <c r="D219" s="28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s="123" customFormat="1" ht="12.75">
      <c r="A220" s="140" t="s">
        <v>57</v>
      </c>
      <c r="B220" s="140"/>
      <c r="C220" s="140"/>
      <c r="D220" s="140"/>
      <c r="E220" s="97">
        <f>SUM(E223,E226:E229)</f>
        <v>8186063</v>
      </c>
      <c r="F220" s="97">
        <f>SUM(F223,F229,F226)</f>
        <v>59150</v>
      </c>
      <c r="G220" s="97">
        <f>SUM(G223,G229,,G226)</f>
        <v>6981314</v>
      </c>
      <c r="H220" s="97">
        <f>SUM(H223,H229)</f>
        <v>639715</v>
      </c>
      <c r="I220" s="44">
        <v>0</v>
      </c>
      <c r="J220" s="44">
        <v>0</v>
      </c>
      <c r="K220" s="44">
        <v>0</v>
      </c>
      <c r="L220" s="44">
        <v>0</v>
      </c>
      <c r="M220" s="97">
        <f>SUM(M223,M229,M226)</f>
        <v>7680179</v>
      </c>
    </row>
    <row r="221" spans="1:13" s="25" customFormat="1" ht="27" customHeight="1">
      <c r="A221" s="136" t="s">
        <v>26</v>
      </c>
      <c r="B221" s="136"/>
      <c r="C221" s="136"/>
      <c r="D221" s="136"/>
      <c r="E221" s="99"/>
      <c r="F221" s="99"/>
      <c r="G221" s="99"/>
      <c r="H221" s="119">
        <f>SUM(H224,H230,)</f>
        <v>0</v>
      </c>
      <c r="I221" s="47"/>
      <c r="J221" s="48"/>
      <c r="K221" s="48"/>
      <c r="L221" s="48"/>
      <c r="M221" s="48"/>
    </row>
    <row r="222" spans="1:13" s="25" customFormat="1" ht="12.75" customHeight="1">
      <c r="A222" s="132" t="s">
        <v>36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4"/>
    </row>
    <row r="223" spans="1:13" s="30" customFormat="1" ht="12.75">
      <c r="A223" s="26" t="s">
        <v>28</v>
      </c>
      <c r="B223" s="27" t="s">
        <v>3</v>
      </c>
      <c r="C223" s="28">
        <v>2010</v>
      </c>
      <c r="D223" s="28">
        <v>2012</v>
      </c>
      <c r="E223" s="29">
        <f>3785034-3785034</f>
        <v>0</v>
      </c>
      <c r="F223" s="29">
        <f>159150-100000-59150</f>
        <v>0</v>
      </c>
      <c r="G223" s="29">
        <f>3650000-3650000</f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29">
        <f>SUM(F223:L223)</f>
        <v>0</v>
      </c>
    </row>
    <row r="224" spans="1:13" s="30" customFormat="1" ht="12.75">
      <c r="A224" s="31" t="s">
        <v>5</v>
      </c>
      <c r="B224" s="27" t="s">
        <v>4</v>
      </c>
      <c r="C224" s="28"/>
      <c r="D224" s="28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s="30" customFormat="1" ht="12.75">
      <c r="A225" s="99"/>
      <c r="B225" s="52"/>
      <c r="C225" s="93"/>
      <c r="D225" s="9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1:13" s="30" customFormat="1" ht="12.75">
      <c r="A226" s="26" t="s">
        <v>28</v>
      </c>
      <c r="B226" s="27" t="s">
        <v>3</v>
      </c>
      <c r="C226" s="28">
        <v>2010</v>
      </c>
      <c r="D226" s="28">
        <v>2012</v>
      </c>
      <c r="E226" s="29">
        <f>3785034</f>
        <v>3785034</v>
      </c>
      <c r="F226" s="29">
        <f>59150</f>
        <v>59150</v>
      </c>
      <c r="G226" s="29">
        <f>3650000</f>
        <v>3650000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29">
        <f>SUM(F226:L226)</f>
        <v>3709150</v>
      </c>
    </row>
    <row r="227" spans="1:13" s="30" customFormat="1" ht="12.75">
      <c r="A227" s="31" t="s">
        <v>92</v>
      </c>
      <c r="B227" s="27" t="s">
        <v>4</v>
      </c>
      <c r="C227" s="28"/>
      <c r="D227" s="28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s="30" customFormat="1" ht="12.75">
      <c r="A228" s="99"/>
      <c r="B228" s="52"/>
      <c r="C228" s="93"/>
      <c r="D228" s="93"/>
      <c r="E228" s="53"/>
      <c r="F228" s="53"/>
      <c r="G228" s="53"/>
      <c r="H228" s="53"/>
      <c r="I228" s="53"/>
      <c r="J228" s="53"/>
      <c r="K228" s="53"/>
      <c r="L228" s="53"/>
      <c r="M228" s="53"/>
    </row>
    <row r="229" spans="1:13" s="30" customFormat="1" ht="12.75">
      <c r="A229" s="26" t="s">
        <v>83</v>
      </c>
      <c r="B229" s="71" t="s">
        <v>44</v>
      </c>
      <c r="C229" s="28">
        <v>2009</v>
      </c>
      <c r="D229" s="28">
        <v>2013</v>
      </c>
      <c r="E229" s="56">
        <v>4401029</v>
      </c>
      <c r="F229" s="56"/>
      <c r="G229" s="56">
        <v>3331314</v>
      </c>
      <c r="H229" s="56">
        <v>639715</v>
      </c>
      <c r="I229" s="44">
        <v>0</v>
      </c>
      <c r="J229" s="44">
        <v>0</v>
      </c>
      <c r="K229" s="44">
        <v>0</v>
      </c>
      <c r="L229" s="44">
        <v>0</v>
      </c>
      <c r="M229" s="29">
        <f>SUM(F229:L229)</f>
        <v>3971029</v>
      </c>
    </row>
    <row r="230" spans="1:13" s="30" customFormat="1" ht="12.75">
      <c r="A230" s="26"/>
      <c r="B230" s="77" t="s">
        <v>45</v>
      </c>
      <c r="C230" s="28"/>
      <c r="D230" s="28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s="30" customFormat="1" ht="12.75">
      <c r="A231" s="26"/>
      <c r="B231" s="77" t="s">
        <v>46</v>
      </c>
      <c r="C231" s="28"/>
      <c r="D231" s="28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1:13" s="126" customFormat="1" ht="28.5" customHeight="1">
      <c r="A232" s="155" t="s">
        <v>66</v>
      </c>
      <c r="B232" s="155"/>
      <c r="C232" s="155"/>
      <c r="D232" s="155"/>
      <c r="E232" s="125" t="s">
        <v>78</v>
      </c>
      <c r="F232" s="125" t="s">
        <v>78</v>
      </c>
      <c r="G232" s="125" t="s">
        <v>78</v>
      </c>
      <c r="H232" s="125" t="s">
        <v>78</v>
      </c>
      <c r="I232" s="125" t="s">
        <v>78</v>
      </c>
      <c r="J232" s="125" t="s">
        <v>78</v>
      </c>
      <c r="K232" s="125" t="s">
        <v>78</v>
      </c>
      <c r="L232" s="125" t="s">
        <v>78</v>
      </c>
      <c r="M232" s="125" t="s">
        <v>78</v>
      </c>
    </row>
    <row r="233" spans="1:13" s="126" customFormat="1" ht="12.75" customHeight="1">
      <c r="A233" s="156" t="s">
        <v>21</v>
      </c>
      <c r="B233" s="157"/>
      <c r="C233" s="157"/>
      <c r="D233" s="158"/>
      <c r="E233" s="66" t="s">
        <v>78</v>
      </c>
      <c r="F233" s="66" t="s">
        <v>78</v>
      </c>
      <c r="G233" s="66" t="s">
        <v>78</v>
      </c>
      <c r="H233" s="66" t="s">
        <v>78</v>
      </c>
      <c r="I233" s="66" t="s">
        <v>78</v>
      </c>
      <c r="J233" s="66" t="s">
        <v>78</v>
      </c>
      <c r="K233" s="66" t="s">
        <v>78</v>
      </c>
      <c r="L233" s="66" t="s">
        <v>78</v>
      </c>
      <c r="M233" s="66" t="s">
        <v>78</v>
      </c>
    </row>
    <row r="234" spans="1:13" s="12" customFormat="1" ht="12.75" customHeight="1">
      <c r="A234" s="159" t="s">
        <v>22</v>
      </c>
      <c r="B234" s="160"/>
      <c r="C234" s="160"/>
      <c r="D234" s="161"/>
      <c r="E234" s="66" t="s">
        <v>78</v>
      </c>
      <c r="F234" s="66" t="s">
        <v>78</v>
      </c>
      <c r="G234" s="66" t="s">
        <v>78</v>
      </c>
      <c r="H234" s="66" t="s">
        <v>78</v>
      </c>
      <c r="I234" s="66" t="s">
        <v>78</v>
      </c>
      <c r="J234" s="66" t="s">
        <v>78</v>
      </c>
      <c r="K234" s="66" t="s">
        <v>78</v>
      </c>
      <c r="L234" s="66" t="s">
        <v>78</v>
      </c>
      <c r="M234" s="66" t="s">
        <v>78</v>
      </c>
    </row>
    <row r="235" spans="1:13" s="126" customFormat="1" ht="12.75" customHeight="1">
      <c r="A235" s="155" t="s">
        <v>65</v>
      </c>
      <c r="B235" s="155"/>
      <c r="C235" s="155"/>
      <c r="D235" s="155"/>
      <c r="E235" s="125" t="s">
        <v>78</v>
      </c>
      <c r="F235" s="125" t="s">
        <v>78</v>
      </c>
      <c r="G235" s="125" t="s">
        <v>78</v>
      </c>
      <c r="H235" s="125" t="s">
        <v>78</v>
      </c>
      <c r="I235" s="125" t="s">
        <v>78</v>
      </c>
      <c r="J235" s="125" t="s">
        <v>78</v>
      </c>
      <c r="K235" s="125" t="s">
        <v>78</v>
      </c>
      <c r="L235" s="125" t="s">
        <v>78</v>
      </c>
      <c r="M235" s="125" t="s">
        <v>78</v>
      </c>
    </row>
    <row r="236" spans="1:13" s="126" customFormat="1" ht="12.75" customHeight="1">
      <c r="A236" s="162" t="s">
        <v>21</v>
      </c>
      <c r="B236" s="163"/>
      <c r="C236" s="163"/>
      <c r="D236" s="164"/>
      <c r="E236" s="66" t="s">
        <v>78</v>
      </c>
      <c r="F236" s="66" t="s">
        <v>78</v>
      </c>
      <c r="G236" s="66" t="s">
        <v>78</v>
      </c>
      <c r="H236" s="66" t="s">
        <v>78</v>
      </c>
      <c r="I236" s="66" t="s">
        <v>78</v>
      </c>
      <c r="J236" s="66" t="s">
        <v>78</v>
      </c>
      <c r="K236" s="66" t="s">
        <v>78</v>
      </c>
      <c r="L236" s="66" t="s">
        <v>78</v>
      </c>
      <c r="M236" s="66" t="s">
        <v>78</v>
      </c>
    </row>
    <row r="237" spans="1:13" s="131" customFormat="1" ht="12.75">
      <c r="A237" s="127"/>
      <c r="B237" s="127"/>
      <c r="C237" s="127"/>
      <c r="D237" s="127"/>
      <c r="E237" s="128"/>
      <c r="F237" s="128"/>
      <c r="G237" s="128"/>
      <c r="H237" s="129"/>
      <c r="I237" s="129"/>
      <c r="J237" s="129"/>
      <c r="K237" s="129"/>
      <c r="L237" s="130"/>
      <c r="M237" s="128"/>
    </row>
    <row r="240" spans="1:13" ht="69.75" customHeight="1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</row>
  </sheetData>
  <sheetProtection/>
  <mergeCells count="102">
    <mergeCell ref="H81:H83"/>
    <mergeCell ref="I81:I83"/>
    <mergeCell ref="A38:D38"/>
    <mergeCell ref="A81:A83"/>
    <mergeCell ref="B81:B83"/>
    <mergeCell ref="C81:D82"/>
    <mergeCell ref="E81:E83"/>
    <mergeCell ref="F81:F83"/>
    <mergeCell ref="A66:D66"/>
    <mergeCell ref="K81:K83"/>
    <mergeCell ref="L81:L83"/>
    <mergeCell ref="M81:M83"/>
    <mergeCell ref="A59:D59"/>
    <mergeCell ref="A114:D114"/>
    <mergeCell ref="A109:D109"/>
    <mergeCell ref="A92:M92"/>
    <mergeCell ref="A65:D65"/>
    <mergeCell ref="A80:M80"/>
    <mergeCell ref="G81:G83"/>
    <mergeCell ref="A120:D120"/>
    <mergeCell ref="A160:M160"/>
    <mergeCell ref="A122:D122"/>
    <mergeCell ref="A123:M123"/>
    <mergeCell ref="K161:K163"/>
    <mergeCell ref="A154:D154"/>
    <mergeCell ref="L161:L163"/>
    <mergeCell ref="A110:D110"/>
    <mergeCell ref="A113:D113"/>
    <mergeCell ref="A112:D112"/>
    <mergeCell ref="A111:D111"/>
    <mergeCell ref="G161:G163"/>
    <mergeCell ref="A121:D121"/>
    <mergeCell ref="A161:A163"/>
    <mergeCell ref="B161:B163"/>
    <mergeCell ref="A155:M155"/>
    <mergeCell ref="J161:J163"/>
    <mergeCell ref="A91:D91"/>
    <mergeCell ref="A85:D85"/>
    <mergeCell ref="A13:D13"/>
    <mergeCell ref="A19:D19"/>
    <mergeCell ref="A45:D45"/>
    <mergeCell ref="A46:M46"/>
    <mergeCell ref="A67:M67"/>
    <mergeCell ref="A86:M86"/>
    <mergeCell ref="J81:J83"/>
    <mergeCell ref="A16:D16"/>
    <mergeCell ref="A17:D17"/>
    <mergeCell ref="B7:B9"/>
    <mergeCell ref="A11:D11"/>
    <mergeCell ref="A84:D84"/>
    <mergeCell ref="A10:D10"/>
    <mergeCell ref="C7:D8"/>
    <mergeCell ref="A18:D18"/>
    <mergeCell ref="A44:D44"/>
    <mergeCell ref="A57:D57"/>
    <mergeCell ref="A12:D12"/>
    <mergeCell ref="E7:E9"/>
    <mergeCell ref="K7:K9"/>
    <mergeCell ref="A7:A9"/>
    <mergeCell ref="A14:D14"/>
    <mergeCell ref="A5:M5"/>
    <mergeCell ref="J7:J9"/>
    <mergeCell ref="A20:M20"/>
    <mergeCell ref="A90:D90"/>
    <mergeCell ref="M7:M9"/>
    <mergeCell ref="A15:D15"/>
    <mergeCell ref="L7:L9"/>
    <mergeCell ref="I7:I9"/>
    <mergeCell ref="F7:F9"/>
    <mergeCell ref="G7:G9"/>
    <mergeCell ref="A51:D51"/>
    <mergeCell ref="H7:H9"/>
    <mergeCell ref="A240:M240"/>
    <mergeCell ref="A221:D221"/>
    <mergeCell ref="A220:D220"/>
    <mergeCell ref="A232:D232"/>
    <mergeCell ref="A235:D235"/>
    <mergeCell ref="A214:D214"/>
    <mergeCell ref="A215:D215"/>
    <mergeCell ref="A233:D233"/>
    <mergeCell ref="A234:D234"/>
    <mergeCell ref="A236:D236"/>
    <mergeCell ref="A186:D186"/>
    <mergeCell ref="A187:D187"/>
    <mergeCell ref="A188:M188"/>
    <mergeCell ref="I161:I163"/>
    <mergeCell ref="C161:D162"/>
    <mergeCell ref="F161:F163"/>
    <mergeCell ref="H161:H163"/>
    <mergeCell ref="A166:M166"/>
    <mergeCell ref="A165:D165"/>
    <mergeCell ref="M161:M163"/>
    <mergeCell ref="A204:M204"/>
    <mergeCell ref="A216:M216"/>
    <mergeCell ref="A222:M222"/>
    <mergeCell ref="E161:E163"/>
    <mergeCell ref="A115:D115"/>
    <mergeCell ref="A116:M116"/>
    <mergeCell ref="A153:D153"/>
    <mergeCell ref="A202:D202"/>
    <mergeCell ref="A164:D164"/>
    <mergeCell ref="A203:D20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8" scale="74" r:id="rId1"/>
  <rowBreaks count="2" manualBreakCount="2">
    <brk id="79" max="12" man="1"/>
    <brk id="1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msoltys</cp:lastModifiedBy>
  <cp:lastPrinted>2011-10-06T10:45:49Z</cp:lastPrinted>
  <dcterms:created xsi:type="dcterms:W3CDTF">2010-06-05T20:15:04Z</dcterms:created>
  <dcterms:modified xsi:type="dcterms:W3CDTF">2011-10-06T10:46:04Z</dcterms:modified>
  <cp:category/>
  <cp:version/>
  <cp:contentType/>
  <cp:contentStatus/>
</cp:coreProperties>
</file>