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WPF " sheetId="1" r:id="rId1"/>
  </sheets>
  <definedNames>
    <definedName name="_xlnm.Print_Area" localSheetId="0">'WPF '!$A$1:$X$57</definedName>
  </definedNames>
  <calcPr fullCalcOnLoad="1"/>
</workbook>
</file>

<file path=xl/sharedStrings.xml><?xml version="1.0" encoding="utf-8"?>
<sst xmlns="http://schemas.openxmlformats.org/spreadsheetml/2006/main" count="120" uniqueCount="94">
  <si>
    <t>L.p.</t>
  </si>
  <si>
    <t>Wyszczególnienie</t>
  </si>
  <si>
    <t>Wykonanie 2008</t>
  </si>
  <si>
    <t>Wykonanie 2009</t>
  </si>
  <si>
    <t>Plan 3 kw. 2010</t>
  </si>
  <si>
    <t>Przewidywane wykonanie 2010</t>
  </si>
  <si>
    <t>Prognoza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</si>
  <si>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</si>
  <si>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</si>
  <si>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</si>
  <si>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</si>
  <si>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</si>
  <si>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</si>
  <si>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</si>
  <si>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</si>
  <si>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</si>
  <si>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</si>
  <si>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</si>
  <si>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</si>
  <si>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</si>
  <si>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</si>
  <si>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</si>
  <si>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</si>
  <si>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</si>
  <si>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</si>
  <si>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</si>
  <si>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</si>
  <si>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</si>
  <si>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</si>
  <si>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</si>
  <si>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</si>
  <si>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</si>
  <si>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</si>
  <si>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</si>
  <si>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</si>
  <si>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</si>
  <si>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</si>
  <si>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</si>
  <si>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</si>
  <si>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</si>
  <si>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</si>
  <si>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Różnica (1-2)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</si>
  <si>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</si>
  <si>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</si>
  <si>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</si>
  <si>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</si>
  <si>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</si>
  <si>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</si>
  <si>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</si>
  <si>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</si>
  <si>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</si>
  <si>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</si>
  <si>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Inne rozchody (bez spłaty długu np. udzielane pożyczki)</t>
  </si>
  <si>
    <t>Środki do dyspozycji (6-7-8)</t>
  </si>
  <si>
    <t>Wydatki majątkowe, w tym:</t>
  </si>
  <si>
    <t>10a</t>
  </si>
  <si>
    <t xml:space="preserve"> wydatki majątkowe objęte limitem art. 226 ust. 4 ufp</t>
  </si>
  <si>
    <t>Przychody (kredyty, pożyczki, emisje obligacji)</t>
  </si>
  <si>
    <t>Rozliczenie budżetu (9-10+11)</t>
  </si>
  <si>
    <t>Kwota długu, w tym:</t>
  </si>
  <si>
    <t>13a</t>
  </si>
  <si>
    <t xml:space="preserve"> łączna kwota wyłączeń z art. 243 ust. 3 pkt 1 ufp oraz art. 170 ust. 3 sufp</t>
  </si>
  <si>
    <t>13b</t>
  </si>
  <si>
    <t>Planowana łączna kwota spłaty zobowiązań</t>
  </si>
  <si>
    <t>15a</t>
  </si>
  <si>
    <t>15b</t>
  </si>
  <si>
    <t>Planowana łączna kwota spłaty zobowiązań po uwzględnieniu art. 244</t>
  </si>
  <si>
    <t>15c</t>
  </si>
  <si>
    <t>Relacja (Db-Wb+Dsm)/Do, o której mowa w art. 243 w danym roku</t>
  </si>
  <si>
    <t>Spełnienie wskaźnika spłaty z art. 243 ufp po uwzględnieniu art. 244 ufp</t>
  </si>
  <si>
    <t>Planowana łączna kwota spłaty zobowiązań do dochodów ogółem -max 15% z art. 169 sufp</t>
  </si>
  <si>
    <t>Zadłużenie/dochody ogółem [(13–13a):1] - max 60% z art. 170 sufp</t>
  </si>
  <si>
    <t>Wydatki bieżące razem (2 + 7b)</t>
  </si>
  <si>
    <t>Wydatki ogółem (10+19)</t>
  </si>
  <si>
    <t>Wynik budżetu (1 - 20)</t>
  </si>
  <si>
    <t>Przychody budżetu (4+5+11)</t>
  </si>
  <si>
    <t>Rozchody budżetu (7a + 8)</t>
  </si>
  <si>
    <t>TAK</t>
  </si>
  <si>
    <t>Wieloletnia Prognoza Finansowa miasta Legnicy</t>
  </si>
  <si>
    <t>- 2 -</t>
  </si>
  <si>
    <t>Plan 3kw. 2010</t>
  </si>
  <si>
    <t>Tadeusz  Krzakowski</t>
  </si>
  <si>
    <t>Maksymalny dopuszczalny wskaźnik spłaty                                        z art. 243 ufp</t>
  </si>
  <si>
    <t xml:space="preserve">  gwarancje i poręczenia podlegające wyłączeniu                                                       z limitów spłaty zobowiązań z art. 243 ufp/169sufp</t>
  </si>
  <si>
    <t xml:space="preserve"> kwota wyłączeń z art. 243 ust. 3 pkt 1 ufp oraz                         art. 169 ust. 3 sufp przypadająca na dany rok budżetowy</t>
  </si>
  <si>
    <t>Kwota zobowiązań związku współtworzonego przez jst przypadających do spłaty w danym roku budżetowym podlegająca doliczeniu zgodnie                                                     z art. 244 ufp</t>
  </si>
  <si>
    <t>Skarbnik Miasta</t>
  </si>
  <si>
    <t>Prezydent Miasta</t>
  </si>
  <si>
    <t xml:space="preserve">      Grażyna  Nikodem     </t>
  </si>
  <si>
    <t>Załącznik nr 1</t>
  </si>
  <si>
    <t>Rady Miejskiej Legnicy</t>
  </si>
  <si>
    <t>)(</t>
  </si>
  <si>
    <t>do Uchwały Nr X/98/11</t>
  </si>
  <si>
    <t>z dnia 27 czerwca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</si>
</sst>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%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/>
    </xf>
    <xf numFmtId="49" fontId="3" fillId="33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4" fontId="48" fillId="0" borderId="0" xfId="0" applyNumberFormat="1" applyFont="1" applyBorder="1" applyAlignment="1">
      <alignment vertical="center"/>
    </xf>
    <xf numFmtId="10" fontId="7" fillId="0" borderId="12" xfId="0" applyNumberFormat="1" applyFont="1" applyBorder="1" applyAlignment="1">
      <alignment vertical="center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4" fontId="48" fillId="34" borderId="10" xfId="0" applyNumberFormat="1" applyFont="1" applyFill="1" applyBorder="1" applyAlignment="1">
      <alignment vertical="center"/>
    </xf>
    <xf numFmtId="4" fontId="48" fillId="34" borderId="0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34" borderId="0" xfId="0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34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49" fontId="8" fillId="33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4" fontId="30" fillId="34" borderId="17" xfId="0" applyNumberFormat="1" applyFont="1" applyFill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4" fontId="30" fillId="34" borderId="12" xfId="0" applyNumberFormat="1" applyFont="1" applyFill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/>
    </xf>
    <xf numFmtId="4" fontId="7" fillId="34" borderId="12" xfId="0" applyNumberFormat="1" applyFont="1" applyFill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30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10" fontId="7" fillId="34" borderId="12" xfId="0" applyNumberFormat="1" applyFont="1" applyFill="1" applyBorder="1" applyAlignment="1">
      <alignment vertical="center"/>
    </xf>
    <xf numFmtId="10" fontId="7" fillId="0" borderId="20" xfId="0" applyNumberFormat="1" applyFont="1" applyBorder="1" applyAlignment="1">
      <alignment vertical="center"/>
    </xf>
    <xf numFmtId="49" fontId="7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10" fontId="7" fillId="0" borderId="25" xfId="0" applyNumberFormat="1" applyFont="1" applyBorder="1" applyAlignment="1">
      <alignment vertical="center"/>
    </xf>
    <xf numFmtId="10" fontId="7" fillId="34" borderId="25" xfId="0" applyNumberFormat="1" applyFont="1" applyFill="1" applyBorder="1" applyAlignment="1">
      <alignment vertical="center"/>
    </xf>
    <xf numFmtId="4" fontId="7" fillId="0" borderId="12" xfId="0" applyNumberFormat="1" applyFont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4" fontId="7" fillId="34" borderId="27" xfId="0" applyNumberFormat="1" applyFont="1" applyFill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34" borderId="0" xfId="0" applyFont="1" applyFill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M1">
      <selection activeCell="C116" sqref="C116"/>
    </sheetView>
  </sheetViews>
  <sheetFormatPr defaultColWidth="8.796875" defaultRowHeight="14.25"/>
  <cols>
    <col min="1" max="1" width="3.5" style="3" customWidth="1"/>
    <col min="2" max="2" width="37.09765625" style="1" customWidth="1"/>
    <col min="3" max="5" width="12.5" style="1" customWidth="1"/>
    <col min="6" max="6" width="12.5" style="24" customWidth="1"/>
    <col min="7" max="24" width="12.5" style="1" customWidth="1"/>
    <col min="25" max="16384" width="9" style="1" customWidth="1"/>
  </cols>
  <sheetData>
    <row r="1" spans="1:24" s="4" customFormat="1" ht="21.75" customHeight="1">
      <c r="A1" s="25" t="s">
        <v>91</v>
      </c>
      <c r="F1" s="19"/>
      <c r="V1" s="37" t="s">
        <v>89</v>
      </c>
      <c r="W1" s="38"/>
      <c r="X1" s="38"/>
    </row>
    <row r="2" spans="6:24" s="4" customFormat="1" ht="21.75" customHeight="1">
      <c r="F2" s="19"/>
      <c r="V2" s="37" t="s">
        <v>92</v>
      </c>
      <c r="W2" s="38"/>
      <c r="X2" s="38"/>
    </row>
    <row r="3" spans="1:24" s="4" customFormat="1" ht="21.75" customHeight="1">
      <c r="A3" s="39"/>
      <c r="B3" s="39"/>
      <c r="C3" s="39"/>
      <c r="D3" s="39"/>
      <c r="E3" s="39"/>
      <c r="F3" s="39"/>
      <c r="G3" s="39"/>
      <c r="H3" s="39"/>
      <c r="I3" s="39"/>
      <c r="V3" s="37" t="s">
        <v>90</v>
      </c>
      <c r="W3" s="38"/>
      <c r="X3" s="38"/>
    </row>
    <row r="4" spans="1:24" s="4" customFormat="1" ht="21.75" customHeight="1">
      <c r="A4" s="39"/>
      <c r="B4" s="39"/>
      <c r="C4" s="39"/>
      <c r="D4" s="39"/>
      <c r="E4" s="39"/>
      <c r="F4" s="39"/>
      <c r="G4" s="39"/>
      <c r="H4" s="39"/>
      <c r="I4" s="5"/>
      <c r="V4" s="37" t="s">
        <v>93</v>
      </c>
      <c r="W4" s="38"/>
      <c r="X4" s="38"/>
    </row>
    <row r="5" spans="6:24" s="6" customFormat="1" ht="21.75" customHeight="1">
      <c r="F5" s="20"/>
      <c r="I5" s="7"/>
      <c r="V5" s="8"/>
      <c r="W5" s="9"/>
      <c r="X5" s="9"/>
    </row>
    <row r="6" spans="6:24" s="6" customFormat="1" ht="21.75" customHeight="1">
      <c r="F6" s="20"/>
      <c r="I6" s="7"/>
      <c r="V6" s="8"/>
      <c r="W6" s="9"/>
      <c r="X6" s="9"/>
    </row>
    <row r="7" spans="1:24" s="6" customFormat="1" ht="21.75" customHeight="1">
      <c r="A7" s="31" t="s">
        <v>78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2:9" s="6" customFormat="1" ht="21.75" customHeight="1">
      <c r="B8" s="33"/>
      <c r="C8" s="33"/>
      <c r="D8" s="33"/>
      <c r="E8" s="33"/>
      <c r="F8" s="33"/>
      <c r="G8" s="34"/>
      <c r="H8" s="34"/>
      <c r="I8" s="34"/>
    </row>
    <row r="9" spans="1:9" s="6" customFormat="1" ht="21.75" customHeight="1" thickBot="1">
      <c r="A9" s="34"/>
      <c r="B9" s="34"/>
      <c r="C9" s="34"/>
      <c r="D9" s="34"/>
      <c r="E9" s="34"/>
      <c r="F9" s="34"/>
      <c r="G9" s="34"/>
      <c r="H9" s="34"/>
      <c r="I9" s="34"/>
    </row>
    <row r="10" spans="1:24" ht="48" customHeight="1" thickBot="1">
      <c r="A10" s="40" t="s">
        <v>0</v>
      </c>
      <c r="B10" s="41" t="s">
        <v>1</v>
      </c>
      <c r="C10" s="41" t="s">
        <v>2</v>
      </c>
      <c r="D10" s="41" t="s">
        <v>3</v>
      </c>
      <c r="E10" s="41" t="s">
        <v>4</v>
      </c>
      <c r="F10" s="42" t="s">
        <v>5</v>
      </c>
      <c r="G10" s="41" t="s">
        <v>6</v>
      </c>
      <c r="H10" s="41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41" t="s">
        <v>12</v>
      </c>
      <c r="N10" s="41" t="s">
        <v>13</v>
      </c>
      <c r="O10" s="41" t="s">
        <v>14</v>
      </c>
      <c r="P10" s="41" t="s">
        <v>15</v>
      </c>
      <c r="Q10" s="41" t="s">
        <v>16</v>
      </c>
      <c r="R10" s="41" t="s">
        <v>17</v>
      </c>
      <c r="S10" s="41" t="s">
        <v>18</v>
      </c>
      <c r="T10" s="41" t="s">
        <v>19</v>
      </c>
      <c r="U10" s="41" t="s">
        <v>20</v>
      </c>
      <c r="V10" s="41" t="s">
        <v>21</v>
      </c>
      <c r="W10" s="41" t="s">
        <v>22</v>
      </c>
      <c r="X10" s="43" t="s">
        <v>23</v>
      </c>
    </row>
    <row r="11" spans="1:24" ht="34.5" customHeight="1">
      <c r="A11" s="44">
        <v>1</v>
      </c>
      <c r="B11" s="45" t="s">
        <v>24</v>
      </c>
      <c r="C11" s="46">
        <f>SUM(C12:C13)</f>
        <v>335265504.91</v>
      </c>
      <c r="D11" s="46">
        <f aca="true" t="shared" si="0" ref="D11:X11">SUM(D12:D13)</f>
        <v>346716119.12</v>
      </c>
      <c r="E11" s="46">
        <f t="shared" si="0"/>
        <v>351437607.09999996</v>
      </c>
      <c r="F11" s="47">
        <f t="shared" si="0"/>
        <v>347127918.75</v>
      </c>
      <c r="G11" s="46">
        <f t="shared" si="0"/>
        <v>370561328.65</v>
      </c>
      <c r="H11" s="46">
        <f t="shared" si="0"/>
        <v>392677000</v>
      </c>
      <c r="I11" s="46">
        <f t="shared" si="0"/>
        <v>385122000</v>
      </c>
      <c r="J11" s="46">
        <f t="shared" si="0"/>
        <v>384670000</v>
      </c>
      <c r="K11" s="46">
        <f t="shared" si="0"/>
        <v>383791000</v>
      </c>
      <c r="L11" s="46">
        <f t="shared" si="0"/>
        <v>384663000</v>
      </c>
      <c r="M11" s="46">
        <f t="shared" si="0"/>
        <v>380886000</v>
      </c>
      <c r="N11" s="46">
        <f t="shared" si="0"/>
        <v>382360000</v>
      </c>
      <c r="O11" s="46">
        <f t="shared" si="0"/>
        <v>384585000</v>
      </c>
      <c r="P11" s="46">
        <f t="shared" si="0"/>
        <v>385712000</v>
      </c>
      <c r="Q11" s="46">
        <f t="shared" si="0"/>
        <v>388890000</v>
      </c>
      <c r="R11" s="46">
        <f t="shared" si="0"/>
        <v>387320000</v>
      </c>
      <c r="S11" s="46">
        <f t="shared" si="0"/>
        <v>385650000</v>
      </c>
      <c r="T11" s="46">
        <f t="shared" si="0"/>
        <v>385680000</v>
      </c>
      <c r="U11" s="46">
        <f t="shared" si="0"/>
        <v>384500000</v>
      </c>
      <c r="V11" s="46">
        <f t="shared" si="0"/>
        <v>378800000</v>
      </c>
      <c r="W11" s="46">
        <f t="shared" si="0"/>
        <v>378800000</v>
      </c>
      <c r="X11" s="48">
        <f t="shared" si="0"/>
        <v>378800000</v>
      </c>
    </row>
    <row r="12" spans="1:24" ht="34.5" customHeight="1">
      <c r="A12" s="49" t="s">
        <v>25</v>
      </c>
      <c r="B12" s="50" t="s">
        <v>26</v>
      </c>
      <c r="C12" s="51">
        <v>316025192.85</v>
      </c>
      <c r="D12" s="51">
        <v>322479875.6</v>
      </c>
      <c r="E12" s="51">
        <v>324300557.15</v>
      </c>
      <c r="F12" s="52">
        <v>319613335.26</v>
      </c>
      <c r="G12" s="51">
        <f>337266309+35000+229401.55+831868+819040+SUM(228372)+SUM(511076,119845,86155.03,-1028)+SUM(-117432.38)</f>
        <v>340008606.2</v>
      </c>
      <c r="H12" s="51">
        <v>347424100</v>
      </c>
      <c r="I12" s="51">
        <v>359291600</v>
      </c>
      <c r="J12" s="51">
        <v>370800000</v>
      </c>
      <c r="K12" s="51">
        <v>370800000</v>
      </c>
      <c r="L12" s="51">
        <v>370800000</v>
      </c>
      <c r="M12" s="51">
        <v>370800000</v>
      </c>
      <c r="N12" s="51">
        <v>370800000</v>
      </c>
      <c r="O12" s="51">
        <v>370800000</v>
      </c>
      <c r="P12" s="51">
        <v>370800000</v>
      </c>
      <c r="Q12" s="51">
        <v>370800000</v>
      </c>
      <c r="R12" s="51">
        <v>370800000</v>
      </c>
      <c r="S12" s="51">
        <v>370800000</v>
      </c>
      <c r="T12" s="51">
        <v>370800000</v>
      </c>
      <c r="U12" s="51">
        <v>370800000</v>
      </c>
      <c r="V12" s="51">
        <v>370800000</v>
      </c>
      <c r="W12" s="51">
        <v>370800000</v>
      </c>
      <c r="X12" s="53">
        <v>370800000</v>
      </c>
    </row>
    <row r="13" spans="1:24" ht="34.5" customHeight="1">
      <c r="A13" s="49" t="s">
        <v>27</v>
      </c>
      <c r="B13" s="50" t="s">
        <v>28</v>
      </c>
      <c r="C13" s="51">
        <v>19240312.06</v>
      </c>
      <c r="D13" s="51">
        <v>24236243.52</v>
      </c>
      <c r="E13" s="51">
        <v>27137049.95</v>
      </c>
      <c r="F13" s="52">
        <v>27514583.49</v>
      </c>
      <c r="G13" s="51">
        <f>25805691+4931075.45-200000+SUM(15000)+SUM(956)</f>
        <v>30552722.45</v>
      </c>
      <c r="H13" s="51">
        <v>45252900</v>
      </c>
      <c r="I13" s="51">
        <v>25830400</v>
      </c>
      <c r="J13" s="51">
        <v>13870000</v>
      </c>
      <c r="K13" s="51">
        <v>12991000</v>
      </c>
      <c r="L13" s="51">
        <v>13863000</v>
      </c>
      <c r="M13" s="51">
        <v>10086000</v>
      </c>
      <c r="N13" s="51">
        <v>11560000</v>
      </c>
      <c r="O13" s="51">
        <v>13785000</v>
      </c>
      <c r="P13" s="51">
        <v>14912000</v>
      </c>
      <c r="Q13" s="51">
        <v>18090000</v>
      </c>
      <c r="R13" s="51">
        <v>16520000</v>
      </c>
      <c r="S13" s="51">
        <v>14850000</v>
      </c>
      <c r="T13" s="51">
        <v>14880000</v>
      </c>
      <c r="U13" s="51">
        <v>13700000</v>
      </c>
      <c r="V13" s="51">
        <v>8000000</v>
      </c>
      <c r="W13" s="51">
        <v>8000000</v>
      </c>
      <c r="X13" s="53">
        <v>8000000</v>
      </c>
    </row>
    <row r="14" spans="1:24" ht="34.5" customHeight="1">
      <c r="A14" s="49" t="s">
        <v>29</v>
      </c>
      <c r="B14" s="50" t="s">
        <v>30</v>
      </c>
      <c r="C14" s="51">
        <v>13174291</v>
      </c>
      <c r="D14" s="51">
        <v>17025795.11</v>
      </c>
      <c r="E14" s="51">
        <v>17961709.98</v>
      </c>
      <c r="F14" s="52">
        <v>16036893.01</v>
      </c>
      <c r="G14" s="51">
        <f>19338930+SUM(956)</f>
        <v>19339886</v>
      </c>
      <c r="H14" s="51">
        <v>17900000</v>
      </c>
      <c r="I14" s="51">
        <v>16200000</v>
      </c>
      <c r="J14" s="51">
        <v>13450000</v>
      </c>
      <c r="K14" s="51">
        <v>12550000</v>
      </c>
      <c r="L14" s="51">
        <v>13400000</v>
      </c>
      <c r="M14" s="51">
        <v>9600000</v>
      </c>
      <c r="N14" s="51">
        <v>11050000</v>
      </c>
      <c r="O14" s="51">
        <v>13250000</v>
      </c>
      <c r="P14" s="51">
        <v>14350000</v>
      </c>
      <c r="Q14" s="51">
        <v>17500000</v>
      </c>
      <c r="R14" s="51">
        <v>15900000</v>
      </c>
      <c r="S14" s="51">
        <v>14200000</v>
      </c>
      <c r="T14" s="51">
        <v>14200000</v>
      </c>
      <c r="U14" s="51">
        <v>13700000</v>
      </c>
      <c r="V14" s="51">
        <v>8000000</v>
      </c>
      <c r="W14" s="51">
        <v>8000000</v>
      </c>
      <c r="X14" s="53">
        <v>8000000</v>
      </c>
    </row>
    <row r="15" spans="1:24" s="2" customFormat="1" ht="48" customHeight="1">
      <c r="A15" s="54">
        <v>2</v>
      </c>
      <c r="B15" s="55" t="s">
        <v>31</v>
      </c>
      <c r="C15" s="56">
        <v>295484795.37</v>
      </c>
      <c r="D15" s="56">
        <v>327605357.83</v>
      </c>
      <c r="E15" s="56">
        <v>330273918.22</v>
      </c>
      <c r="F15" s="57">
        <v>326903211.39</v>
      </c>
      <c r="G15" s="56">
        <f>329710482-15000-706997.74+831868+819040+SUM(228372)+SUM(511076,119845,86155.03,-1028)+SUM(-503151.51)</f>
        <v>331080660.78</v>
      </c>
      <c r="H15" s="56">
        <v>331190661</v>
      </c>
      <c r="I15" s="56">
        <v>333581000</v>
      </c>
      <c r="J15" s="56">
        <v>337031000</v>
      </c>
      <c r="K15" s="56">
        <v>337534000</v>
      </c>
      <c r="L15" s="56">
        <v>338001000</v>
      </c>
      <c r="M15" s="56">
        <v>338559000</v>
      </c>
      <c r="N15" s="56">
        <f>339261000-49.75</f>
        <v>339260950.25</v>
      </c>
      <c r="O15" s="56">
        <v>339944000</v>
      </c>
      <c r="P15" s="56">
        <v>340638000</v>
      </c>
      <c r="Q15" s="56">
        <f>341271000-175000</f>
        <v>341096000</v>
      </c>
      <c r="R15" s="56">
        <f>341883000</f>
        <v>341883000</v>
      </c>
      <c r="S15" s="56">
        <f>342556000</f>
        <v>342556000</v>
      </c>
      <c r="T15" s="56">
        <f>343240000</f>
        <v>343240000</v>
      </c>
      <c r="U15" s="56">
        <f>343910000</f>
        <v>343910000</v>
      </c>
      <c r="V15" s="56">
        <f>344558000</f>
        <v>344558000</v>
      </c>
      <c r="W15" s="56">
        <f>345217000+175000</f>
        <v>345392000</v>
      </c>
      <c r="X15" s="58">
        <f>345881000</f>
        <v>345881000</v>
      </c>
    </row>
    <row r="16" spans="1:24" ht="34.5" customHeight="1">
      <c r="A16" s="49" t="s">
        <v>32</v>
      </c>
      <c r="B16" s="50" t="s">
        <v>33</v>
      </c>
      <c r="C16" s="51">
        <v>129917449.04</v>
      </c>
      <c r="D16" s="51">
        <v>142489259.83</v>
      </c>
      <c r="E16" s="51">
        <v>151471538.74</v>
      </c>
      <c r="F16" s="52">
        <f>150646308.22-1490</f>
        <v>150644818.22</v>
      </c>
      <c r="G16" s="51">
        <f>158287426.05-32500-11214-6674-33029+5556-18757-16852+432510+SUM(38861,70)+SUM(-3531,-190068,-10620,-7935.61,61.48,-78665)+SUM(-302507.05)</f>
        <v>158052131.87</v>
      </c>
      <c r="H16" s="51">
        <v>164085000</v>
      </c>
      <c r="I16" s="51">
        <v>164085000</v>
      </c>
      <c r="J16" s="51">
        <v>164085000</v>
      </c>
      <c r="K16" s="51">
        <v>164085000</v>
      </c>
      <c r="L16" s="51">
        <v>164085000</v>
      </c>
      <c r="M16" s="51">
        <v>164085000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3">
        <v>0</v>
      </c>
    </row>
    <row r="17" spans="1:24" ht="34.5" customHeight="1">
      <c r="A17" s="49" t="s">
        <v>34</v>
      </c>
      <c r="B17" s="50" t="s">
        <v>35</v>
      </c>
      <c r="C17" s="51">
        <v>20579087.34</v>
      </c>
      <c r="D17" s="51">
        <v>20161984.84</v>
      </c>
      <c r="E17" s="51">
        <v>22627381.38</v>
      </c>
      <c r="F17" s="52">
        <v>21279972.45</v>
      </c>
      <c r="G17" s="51">
        <f>22634060+179356.15+SUM(-4286.51)</f>
        <v>22809129.639999997</v>
      </c>
      <c r="H17" s="51">
        <v>23140000</v>
      </c>
      <c r="I17" s="51">
        <v>22750000</v>
      </c>
      <c r="J17" s="51">
        <v>22750000</v>
      </c>
      <c r="K17" s="51">
        <v>22750000</v>
      </c>
      <c r="L17" s="51">
        <v>22750000</v>
      </c>
      <c r="M17" s="51">
        <v>22750000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3">
        <v>0</v>
      </c>
    </row>
    <row r="18" spans="1:24" ht="34.5" customHeight="1">
      <c r="A18" s="49" t="s">
        <v>36</v>
      </c>
      <c r="B18" s="50" t="s">
        <v>37</v>
      </c>
      <c r="C18" s="51">
        <v>0</v>
      </c>
      <c r="D18" s="51">
        <v>0</v>
      </c>
      <c r="E18" s="51">
        <v>0</v>
      </c>
      <c r="F18" s="52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3">
        <v>0</v>
      </c>
    </row>
    <row r="19" spans="1:24" ht="34.5" customHeight="1">
      <c r="A19" s="49" t="s">
        <v>38</v>
      </c>
      <c r="B19" s="59" t="s">
        <v>83</v>
      </c>
      <c r="C19" s="51">
        <v>0</v>
      </c>
      <c r="D19" s="51">
        <v>0</v>
      </c>
      <c r="E19" s="51">
        <v>0</v>
      </c>
      <c r="F19" s="52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3">
        <v>0</v>
      </c>
    </row>
    <row r="20" spans="1:24" ht="34.5" customHeight="1">
      <c r="A20" s="49" t="s">
        <v>39</v>
      </c>
      <c r="B20" s="50" t="s">
        <v>40</v>
      </c>
      <c r="C20" s="51">
        <v>0</v>
      </c>
      <c r="D20" s="51">
        <v>0</v>
      </c>
      <c r="E20" s="51">
        <v>0</v>
      </c>
      <c r="F20" s="52">
        <v>0</v>
      </c>
      <c r="G20" s="51">
        <v>3235242.03</v>
      </c>
      <c r="H20" s="51">
        <v>1548899.59</v>
      </c>
      <c r="I20" s="51">
        <v>1056181.37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3">
        <v>0</v>
      </c>
    </row>
    <row r="21" spans="1:24" s="2" customFormat="1" ht="34.5" customHeight="1">
      <c r="A21" s="54">
        <v>3</v>
      </c>
      <c r="B21" s="60" t="s">
        <v>41</v>
      </c>
      <c r="C21" s="56">
        <f>C11-C15</f>
        <v>39780709.54000002</v>
      </c>
      <c r="D21" s="56">
        <f aca="true" t="shared" si="1" ref="D21:X21">D11-D15</f>
        <v>19110761.29000002</v>
      </c>
      <c r="E21" s="56">
        <f t="shared" si="1"/>
        <v>21163688.879999936</v>
      </c>
      <c r="F21" s="57">
        <f t="shared" si="1"/>
        <v>20224707.360000014</v>
      </c>
      <c r="G21" s="56">
        <f t="shared" si="1"/>
        <v>39480667.870000005</v>
      </c>
      <c r="H21" s="56">
        <f t="shared" si="1"/>
        <v>61486339</v>
      </c>
      <c r="I21" s="56">
        <f t="shared" si="1"/>
        <v>51541000</v>
      </c>
      <c r="J21" s="56">
        <f t="shared" si="1"/>
        <v>47639000</v>
      </c>
      <c r="K21" s="56">
        <f t="shared" si="1"/>
        <v>46257000</v>
      </c>
      <c r="L21" s="56">
        <f t="shared" si="1"/>
        <v>46662000</v>
      </c>
      <c r="M21" s="56">
        <f t="shared" si="1"/>
        <v>42327000</v>
      </c>
      <c r="N21" s="56">
        <f t="shared" si="1"/>
        <v>43099049.75</v>
      </c>
      <c r="O21" s="56">
        <f t="shared" si="1"/>
        <v>44641000</v>
      </c>
      <c r="P21" s="56">
        <f t="shared" si="1"/>
        <v>45074000</v>
      </c>
      <c r="Q21" s="56">
        <f t="shared" si="1"/>
        <v>47794000</v>
      </c>
      <c r="R21" s="56">
        <f t="shared" si="1"/>
        <v>45437000</v>
      </c>
      <c r="S21" s="56">
        <f t="shared" si="1"/>
        <v>43094000</v>
      </c>
      <c r="T21" s="56">
        <f t="shared" si="1"/>
        <v>42440000</v>
      </c>
      <c r="U21" s="56">
        <f t="shared" si="1"/>
        <v>40590000</v>
      </c>
      <c r="V21" s="56">
        <f t="shared" si="1"/>
        <v>34242000</v>
      </c>
      <c r="W21" s="56">
        <f t="shared" si="1"/>
        <v>33408000</v>
      </c>
      <c r="X21" s="58">
        <f t="shared" si="1"/>
        <v>32919000</v>
      </c>
    </row>
    <row r="22" spans="1:24" s="2" customFormat="1" ht="34.5" customHeight="1">
      <c r="A22" s="54">
        <v>4</v>
      </c>
      <c r="B22" s="55" t="s">
        <v>42</v>
      </c>
      <c r="C22" s="56">
        <v>14820604.25</v>
      </c>
      <c r="D22" s="56">
        <v>6543803.07</v>
      </c>
      <c r="E22" s="56">
        <v>0</v>
      </c>
      <c r="F22" s="57">
        <v>6498826.34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8">
        <v>0</v>
      </c>
    </row>
    <row r="23" spans="1:24" ht="48" customHeight="1">
      <c r="A23" s="49" t="s">
        <v>43</v>
      </c>
      <c r="B23" s="59" t="s">
        <v>44</v>
      </c>
      <c r="C23" s="51">
        <v>8276801.18</v>
      </c>
      <c r="D23" s="51">
        <v>44976.73</v>
      </c>
      <c r="E23" s="51">
        <v>0</v>
      </c>
      <c r="F23" s="52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3">
        <v>0</v>
      </c>
    </row>
    <row r="24" spans="1:24" s="2" customFormat="1" ht="34.5" customHeight="1">
      <c r="A24" s="54">
        <v>5</v>
      </c>
      <c r="B24" s="60" t="s">
        <v>45</v>
      </c>
      <c r="C24" s="56">
        <v>0</v>
      </c>
      <c r="D24" s="56">
        <v>0</v>
      </c>
      <c r="E24" s="56">
        <v>0</v>
      </c>
      <c r="F24" s="57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8">
        <v>0</v>
      </c>
    </row>
    <row r="25" spans="1:24" s="2" customFormat="1" ht="34.5" customHeight="1">
      <c r="A25" s="54">
        <v>6</v>
      </c>
      <c r="B25" s="60" t="s">
        <v>46</v>
      </c>
      <c r="C25" s="56">
        <f>SUM(C21,C22,C24)</f>
        <v>54601313.79000002</v>
      </c>
      <c r="D25" s="56">
        <f aca="true" t="shared" si="2" ref="D25:X25">SUM(D21,D22,D24)</f>
        <v>25654564.36000002</v>
      </c>
      <c r="E25" s="56">
        <f t="shared" si="2"/>
        <v>21163688.879999936</v>
      </c>
      <c r="F25" s="57">
        <f t="shared" si="2"/>
        <v>26723533.700000014</v>
      </c>
      <c r="G25" s="56">
        <f t="shared" si="2"/>
        <v>39480667.870000005</v>
      </c>
      <c r="H25" s="56">
        <f t="shared" si="2"/>
        <v>61486339</v>
      </c>
      <c r="I25" s="56">
        <f t="shared" si="2"/>
        <v>51541000</v>
      </c>
      <c r="J25" s="56">
        <f t="shared" si="2"/>
        <v>47639000</v>
      </c>
      <c r="K25" s="56">
        <f t="shared" si="2"/>
        <v>46257000</v>
      </c>
      <c r="L25" s="56">
        <f t="shared" si="2"/>
        <v>46662000</v>
      </c>
      <c r="M25" s="56">
        <f t="shared" si="2"/>
        <v>42327000</v>
      </c>
      <c r="N25" s="56">
        <f t="shared" si="2"/>
        <v>43099049.75</v>
      </c>
      <c r="O25" s="56">
        <f t="shared" si="2"/>
        <v>44641000</v>
      </c>
      <c r="P25" s="56">
        <f t="shared" si="2"/>
        <v>45074000</v>
      </c>
      <c r="Q25" s="56">
        <f t="shared" si="2"/>
        <v>47794000</v>
      </c>
      <c r="R25" s="56">
        <f t="shared" si="2"/>
        <v>45437000</v>
      </c>
      <c r="S25" s="56">
        <f t="shared" si="2"/>
        <v>43094000</v>
      </c>
      <c r="T25" s="56">
        <f t="shared" si="2"/>
        <v>42440000</v>
      </c>
      <c r="U25" s="56">
        <f t="shared" si="2"/>
        <v>40590000</v>
      </c>
      <c r="V25" s="56">
        <f t="shared" si="2"/>
        <v>34242000</v>
      </c>
      <c r="W25" s="56">
        <f t="shared" si="2"/>
        <v>33408000</v>
      </c>
      <c r="X25" s="58">
        <f t="shared" si="2"/>
        <v>32919000</v>
      </c>
    </row>
    <row r="26" spans="1:24" s="2" customFormat="1" ht="34.5" customHeight="1">
      <c r="A26" s="54">
        <v>7</v>
      </c>
      <c r="B26" s="60" t="s">
        <v>47</v>
      </c>
      <c r="C26" s="56">
        <f>SUM(C27:C28)</f>
        <v>12152194.59</v>
      </c>
      <c r="D26" s="56">
        <f aca="true" t="shared" si="3" ref="D26:X26">SUM(D27:D28)</f>
        <v>11410470.26</v>
      </c>
      <c r="E26" s="56">
        <f t="shared" si="3"/>
        <v>14020457.52</v>
      </c>
      <c r="F26" s="57">
        <f t="shared" si="3"/>
        <v>13928224.73</v>
      </c>
      <c r="G26" s="56">
        <f t="shared" si="3"/>
        <v>17620195.55</v>
      </c>
      <c r="H26" s="56">
        <f t="shared" si="3"/>
        <v>19734990.59</v>
      </c>
      <c r="I26" s="56">
        <f t="shared" si="3"/>
        <v>20113322</v>
      </c>
      <c r="J26" s="56">
        <f t="shared" si="3"/>
        <v>20937411</v>
      </c>
      <c r="K26" s="56">
        <f t="shared" si="3"/>
        <v>21595274</v>
      </c>
      <c r="L26" s="56">
        <f t="shared" si="3"/>
        <v>20533874</v>
      </c>
      <c r="M26" s="56">
        <f t="shared" si="3"/>
        <v>23017171</v>
      </c>
      <c r="N26" s="56">
        <f t="shared" si="3"/>
        <v>21762746.75</v>
      </c>
      <c r="O26" s="56">
        <f t="shared" si="3"/>
        <v>20497041</v>
      </c>
      <c r="P26" s="56">
        <f t="shared" si="3"/>
        <v>18455001</v>
      </c>
      <c r="Q26" s="56">
        <f t="shared" si="3"/>
        <v>17465265</v>
      </c>
      <c r="R26" s="56">
        <f t="shared" si="3"/>
        <v>19510000</v>
      </c>
      <c r="S26" s="56">
        <f t="shared" si="3"/>
        <v>19237000</v>
      </c>
      <c r="T26" s="56">
        <f t="shared" si="3"/>
        <v>18653000</v>
      </c>
      <c r="U26" s="56">
        <f t="shared" si="3"/>
        <v>16882995</v>
      </c>
      <c r="V26" s="56">
        <f t="shared" si="3"/>
        <v>16735000</v>
      </c>
      <c r="W26" s="56">
        <f t="shared" si="3"/>
        <v>15901000</v>
      </c>
      <c r="X26" s="58">
        <f t="shared" si="3"/>
        <v>15412000.46</v>
      </c>
    </row>
    <row r="27" spans="1:24" ht="34.5" customHeight="1">
      <c r="A27" s="49" t="s">
        <v>48</v>
      </c>
      <c r="B27" s="59" t="s">
        <v>49</v>
      </c>
      <c r="C27" s="51">
        <v>9147999.68</v>
      </c>
      <c r="D27" s="51">
        <v>8920767.78</v>
      </c>
      <c r="E27" s="51">
        <v>10019957.52</v>
      </c>
      <c r="F27" s="52">
        <v>10019907.76</v>
      </c>
      <c r="G27" s="51">
        <v>10120195.55</v>
      </c>
      <c r="H27" s="51">
        <v>10714990.59</v>
      </c>
      <c r="I27" s="51">
        <v>10455322</v>
      </c>
      <c r="J27" s="51">
        <v>11675411</v>
      </c>
      <c r="K27" s="51">
        <v>12836274</v>
      </c>
      <c r="L27" s="51">
        <v>12241874</v>
      </c>
      <c r="M27" s="51">
        <v>15283171</v>
      </c>
      <c r="N27" s="51">
        <v>14730746.75</v>
      </c>
      <c r="O27" s="51">
        <v>14148041</v>
      </c>
      <c r="P27" s="51">
        <v>12800001</v>
      </c>
      <c r="Q27" s="51">
        <f>12268265+175000</f>
        <v>12443265</v>
      </c>
      <c r="R27" s="51">
        <f>15100000</f>
        <v>15100000</v>
      </c>
      <c r="S27" s="51">
        <f>15500000</f>
        <v>15500000</v>
      </c>
      <c r="T27" s="51">
        <f>15600000</f>
        <v>15600000</v>
      </c>
      <c r="U27" s="51">
        <f>14499995</f>
        <v>14499995</v>
      </c>
      <c r="V27" s="51">
        <f>15000000</f>
        <v>15000000</v>
      </c>
      <c r="W27" s="51">
        <v>14825000</v>
      </c>
      <c r="X27" s="53">
        <f>15000000.46</f>
        <v>15000000.46</v>
      </c>
    </row>
    <row r="28" spans="1:24" ht="34.5" customHeight="1">
      <c r="A28" s="49" t="s">
        <v>50</v>
      </c>
      <c r="B28" s="50" t="s">
        <v>51</v>
      </c>
      <c r="C28" s="51">
        <v>3004194.91</v>
      </c>
      <c r="D28" s="51">
        <v>2489702.48</v>
      </c>
      <c r="E28" s="51">
        <v>4000500</v>
      </c>
      <c r="F28" s="52">
        <v>3908316.97</v>
      </c>
      <c r="G28" s="51">
        <v>7500000</v>
      </c>
      <c r="H28" s="51">
        <v>9020000</v>
      </c>
      <c r="I28" s="51">
        <v>9658000</v>
      </c>
      <c r="J28" s="51">
        <v>9262000</v>
      </c>
      <c r="K28" s="51">
        <v>8759000</v>
      </c>
      <c r="L28" s="51">
        <v>8292000</v>
      </c>
      <c r="M28" s="51">
        <v>7734000</v>
      </c>
      <c r="N28" s="51">
        <v>7032000</v>
      </c>
      <c r="O28" s="51">
        <v>6349000</v>
      </c>
      <c r="P28" s="51">
        <v>5655000</v>
      </c>
      <c r="Q28" s="51">
        <v>5022000</v>
      </c>
      <c r="R28" s="51">
        <v>4410000</v>
      </c>
      <c r="S28" s="51">
        <v>3737000</v>
      </c>
      <c r="T28" s="51">
        <v>3053000</v>
      </c>
      <c r="U28" s="51">
        <v>2383000</v>
      </c>
      <c r="V28" s="51">
        <v>1735000</v>
      </c>
      <c r="W28" s="51">
        <v>1076000</v>
      </c>
      <c r="X28" s="53">
        <v>412000</v>
      </c>
    </row>
    <row r="29" spans="1:24" s="2" customFormat="1" ht="34.5" customHeight="1">
      <c r="A29" s="54">
        <v>8</v>
      </c>
      <c r="B29" s="55" t="s">
        <v>52</v>
      </c>
      <c r="C29" s="56">
        <v>0</v>
      </c>
      <c r="D29" s="56">
        <v>0</v>
      </c>
      <c r="E29" s="56">
        <v>0</v>
      </c>
      <c r="F29" s="57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8">
        <v>0</v>
      </c>
    </row>
    <row r="30" spans="1:24" s="2" customFormat="1" ht="34.5" customHeight="1">
      <c r="A30" s="54">
        <v>9</v>
      </c>
      <c r="B30" s="60" t="s">
        <v>53</v>
      </c>
      <c r="C30" s="56">
        <f>C25-C26-C29</f>
        <v>42449119.20000002</v>
      </c>
      <c r="D30" s="56">
        <f aca="true" t="shared" si="4" ref="D30:X30">D25-D26-D29</f>
        <v>14244094.100000022</v>
      </c>
      <c r="E30" s="56">
        <f t="shared" si="4"/>
        <v>7143231.359999936</v>
      </c>
      <c r="F30" s="57">
        <f t="shared" si="4"/>
        <v>12795308.970000014</v>
      </c>
      <c r="G30" s="56">
        <f t="shared" si="4"/>
        <v>21860472.320000004</v>
      </c>
      <c r="H30" s="56">
        <f t="shared" si="4"/>
        <v>41751348.41</v>
      </c>
      <c r="I30" s="56">
        <f t="shared" si="4"/>
        <v>31427678</v>
      </c>
      <c r="J30" s="56">
        <f t="shared" si="4"/>
        <v>26701589</v>
      </c>
      <c r="K30" s="56">
        <f t="shared" si="4"/>
        <v>24661726</v>
      </c>
      <c r="L30" s="56">
        <f t="shared" si="4"/>
        <v>26128126</v>
      </c>
      <c r="M30" s="56">
        <f t="shared" si="4"/>
        <v>19309829</v>
      </c>
      <c r="N30" s="56">
        <f t="shared" si="4"/>
        <v>21336303</v>
      </c>
      <c r="O30" s="56">
        <f t="shared" si="4"/>
        <v>24143959</v>
      </c>
      <c r="P30" s="56">
        <f t="shared" si="4"/>
        <v>26618999</v>
      </c>
      <c r="Q30" s="56">
        <f t="shared" si="4"/>
        <v>30328735</v>
      </c>
      <c r="R30" s="56">
        <f t="shared" si="4"/>
        <v>25927000</v>
      </c>
      <c r="S30" s="56">
        <f t="shared" si="4"/>
        <v>23857000</v>
      </c>
      <c r="T30" s="56">
        <f t="shared" si="4"/>
        <v>23787000</v>
      </c>
      <c r="U30" s="56">
        <f t="shared" si="4"/>
        <v>23707005</v>
      </c>
      <c r="V30" s="56">
        <f t="shared" si="4"/>
        <v>17507000</v>
      </c>
      <c r="W30" s="56">
        <f t="shared" si="4"/>
        <v>17507000</v>
      </c>
      <c r="X30" s="58">
        <f t="shared" si="4"/>
        <v>17506999.54</v>
      </c>
    </row>
    <row r="31" spans="1:24" s="2" customFormat="1" ht="34.5" customHeight="1">
      <c r="A31" s="54">
        <v>10</v>
      </c>
      <c r="B31" s="60" t="s">
        <v>54</v>
      </c>
      <c r="C31" s="56">
        <v>54213315.81</v>
      </c>
      <c r="D31" s="56">
        <v>62604971.69</v>
      </c>
      <c r="E31" s="56">
        <v>71163188.88</v>
      </c>
      <c r="F31" s="57">
        <v>62443347.66</v>
      </c>
      <c r="G31" s="56">
        <f>62214518+50000+5867474.74-200000+SUM(15000)+(386675.13)</f>
        <v>68333667.86999999</v>
      </c>
      <c r="H31" s="56">
        <v>74542339</v>
      </c>
      <c r="I31" s="56">
        <v>31427678</v>
      </c>
      <c r="J31" s="56">
        <v>26701589</v>
      </c>
      <c r="K31" s="56">
        <v>24661726</v>
      </c>
      <c r="L31" s="56">
        <v>26128126</v>
      </c>
      <c r="M31" s="56">
        <v>19309829</v>
      </c>
      <c r="N31" s="56">
        <v>21336303</v>
      </c>
      <c r="O31" s="56">
        <v>24143959</v>
      </c>
      <c r="P31" s="56">
        <v>26618999</v>
      </c>
      <c r="Q31" s="56">
        <v>30328735</v>
      </c>
      <c r="R31" s="56">
        <v>25927000</v>
      </c>
      <c r="S31" s="56">
        <v>23857000</v>
      </c>
      <c r="T31" s="56">
        <v>23787000</v>
      </c>
      <c r="U31" s="56">
        <v>23707005</v>
      </c>
      <c r="V31" s="56">
        <v>17507000</v>
      </c>
      <c r="W31" s="56">
        <v>17507000</v>
      </c>
      <c r="X31" s="58">
        <v>17506999.54</v>
      </c>
    </row>
    <row r="32" spans="1:24" ht="34.5" customHeight="1">
      <c r="A32" s="49" t="s">
        <v>55</v>
      </c>
      <c r="B32" s="50" t="s">
        <v>56</v>
      </c>
      <c r="C32" s="51">
        <v>0</v>
      </c>
      <c r="D32" s="51">
        <v>0</v>
      </c>
      <c r="E32" s="51">
        <v>0</v>
      </c>
      <c r="F32" s="52">
        <v>0</v>
      </c>
      <c r="G32" s="51">
        <v>55108258.6</v>
      </c>
      <c r="H32" s="51">
        <v>74542339</v>
      </c>
      <c r="I32" s="51">
        <v>31327678</v>
      </c>
      <c r="J32" s="51">
        <v>26701589</v>
      </c>
      <c r="K32" s="51">
        <v>24661726</v>
      </c>
      <c r="L32" s="51">
        <v>26128126</v>
      </c>
      <c r="M32" s="51">
        <v>19309829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3">
        <v>0</v>
      </c>
    </row>
    <row r="33" spans="1:24" s="2" customFormat="1" ht="34.5" customHeight="1">
      <c r="A33" s="54">
        <v>11</v>
      </c>
      <c r="B33" s="60" t="s">
        <v>57</v>
      </c>
      <c r="C33" s="56">
        <v>18307999.68</v>
      </c>
      <c r="D33" s="56">
        <v>54859703.93</v>
      </c>
      <c r="E33" s="56">
        <v>64019957.52</v>
      </c>
      <c r="F33" s="57">
        <v>64019957.52</v>
      </c>
      <c r="G33" s="56">
        <v>46473195.55</v>
      </c>
      <c r="H33" s="56">
        <v>32790990.59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8">
        <v>0</v>
      </c>
    </row>
    <row r="34" spans="1:24" s="2" customFormat="1" ht="34.5" customHeight="1">
      <c r="A34" s="54">
        <v>12</v>
      </c>
      <c r="B34" s="60" t="s">
        <v>58</v>
      </c>
      <c r="C34" s="56">
        <f>C30-C31+C33</f>
        <v>6543803.070000015</v>
      </c>
      <c r="D34" s="56">
        <f aca="true" t="shared" si="5" ref="D34:X34">D30-D31+D33</f>
        <v>6498826.340000026</v>
      </c>
      <c r="E34" s="56">
        <f t="shared" si="5"/>
        <v>0</v>
      </c>
      <c r="F34" s="57">
        <f t="shared" si="5"/>
        <v>14371918.83000002</v>
      </c>
      <c r="G34" s="56">
        <f>G30-G31+G33</f>
        <v>0</v>
      </c>
      <c r="H34" s="56">
        <f t="shared" si="5"/>
        <v>0</v>
      </c>
      <c r="I34" s="56">
        <f t="shared" si="5"/>
        <v>0</v>
      </c>
      <c r="J34" s="56">
        <f t="shared" si="5"/>
        <v>0</v>
      </c>
      <c r="K34" s="56">
        <f t="shared" si="5"/>
        <v>0</v>
      </c>
      <c r="L34" s="56">
        <f t="shared" si="5"/>
        <v>0</v>
      </c>
      <c r="M34" s="56">
        <f t="shared" si="5"/>
        <v>0</v>
      </c>
      <c r="N34" s="56">
        <f t="shared" si="5"/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56">
        <f t="shared" si="5"/>
        <v>0</v>
      </c>
      <c r="S34" s="56">
        <f t="shared" si="5"/>
        <v>0</v>
      </c>
      <c r="T34" s="56">
        <f t="shared" si="5"/>
        <v>0</v>
      </c>
      <c r="U34" s="56">
        <f t="shared" si="5"/>
        <v>0</v>
      </c>
      <c r="V34" s="56">
        <f t="shared" si="5"/>
        <v>0</v>
      </c>
      <c r="W34" s="56">
        <f t="shared" si="5"/>
        <v>0</v>
      </c>
      <c r="X34" s="58">
        <f t="shared" si="5"/>
        <v>0</v>
      </c>
    </row>
    <row r="35" spans="1:24" s="2" customFormat="1" ht="34.5" customHeight="1">
      <c r="A35" s="54">
        <v>13</v>
      </c>
      <c r="B35" s="60" t="s">
        <v>59</v>
      </c>
      <c r="C35" s="56">
        <v>63966115.31</v>
      </c>
      <c r="D35" s="56">
        <v>109710051.46</v>
      </c>
      <c r="E35" s="56">
        <v>163710051.46</v>
      </c>
      <c r="F35" s="57">
        <v>163710101.22</v>
      </c>
      <c r="G35" s="57">
        <f>200063101.22+23904.7</f>
        <v>200087005.92</v>
      </c>
      <c r="H35" s="57">
        <f>222139101.22+11952.35</f>
        <v>222151053.57</v>
      </c>
      <c r="I35" s="57">
        <f>211683779.22</f>
        <v>211683779.22</v>
      </c>
      <c r="J35" s="57">
        <v>200008368.22</v>
      </c>
      <c r="K35" s="56">
        <v>187172094.22</v>
      </c>
      <c r="L35" s="56">
        <v>174930220.22</v>
      </c>
      <c r="M35" s="56">
        <v>159647049.22</v>
      </c>
      <c r="N35" s="56">
        <v>144916302.46</v>
      </c>
      <c r="O35" s="56">
        <v>130768261.46</v>
      </c>
      <c r="P35" s="56">
        <v>117968260.46</v>
      </c>
      <c r="Q35" s="56">
        <f>105699995.46-175000</f>
        <v>105524995.46</v>
      </c>
      <c r="R35" s="56">
        <f>90599995.46-175000</f>
        <v>90424995.46</v>
      </c>
      <c r="S35" s="56">
        <f>75099995.46-175000</f>
        <v>74924995.46</v>
      </c>
      <c r="T35" s="56">
        <f>59499995.46-175000</f>
        <v>59324995.46</v>
      </c>
      <c r="U35" s="56">
        <f>45000000.46-175000</f>
        <v>44825000.46</v>
      </c>
      <c r="V35" s="56">
        <f>30000000.46-175000</f>
        <v>29825000.46</v>
      </c>
      <c r="W35" s="56">
        <f>15000000.46</f>
        <v>15000000.46</v>
      </c>
      <c r="X35" s="58">
        <v>0</v>
      </c>
    </row>
    <row r="36" spans="1:24" ht="34.5" customHeight="1">
      <c r="A36" s="49" t="s">
        <v>60</v>
      </c>
      <c r="B36" s="59" t="s">
        <v>61</v>
      </c>
      <c r="C36" s="51">
        <v>0</v>
      </c>
      <c r="D36" s="51">
        <v>0</v>
      </c>
      <c r="E36" s="51">
        <v>0</v>
      </c>
      <c r="F36" s="52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3">
        <v>0</v>
      </c>
    </row>
    <row r="37" spans="1:24" ht="48" customHeight="1">
      <c r="A37" s="49" t="s">
        <v>62</v>
      </c>
      <c r="B37" s="59" t="s">
        <v>84</v>
      </c>
      <c r="C37" s="51">
        <v>0</v>
      </c>
      <c r="D37" s="51">
        <v>0</v>
      </c>
      <c r="E37" s="51">
        <v>0</v>
      </c>
      <c r="F37" s="52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3">
        <v>0</v>
      </c>
    </row>
    <row r="38" spans="1:24" s="2" customFormat="1" ht="64.5" customHeight="1">
      <c r="A38" s="54">
        <v>14</v>
      </c>
      <c r="B38" s="55" t="s">
        <v>85</v>
      </c>
      <c r="C38" s="56">
        <v>0</v>
      </c>
      <c r="D38" s="56">
        <v>0</v>
      </c>
      <c r="E38" s="56">
        <v>0</v>
      </c>
      <c r="F38" s="57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8">
        <v>0</v>
      </c>
    </row>
    <row r="39" spans="1:24" s="2" customFormat="1" ht="34.5" customHeight="1" thickBot="1">
      <c r="A39" s="54">
        <v>15</v>
      </c>
      <c r="B39" s="60" t="s">
        <v>63</v>
      </c>
      <c r="C39" s="18">
        <f>ROUND((C26+C18)/C11,4)</f>
        <v>0.0362</v>
      </c>
      <c r="D39" s="18">
        <f aca="true" t="shared" si="6" ref="D39:X39">ROUND((D26+D18)/D11,4)</f>
        <v>0.0329</v>
      </c>
      <c r="E39" s="18">
        <f t="shared" si="6"/>
        <v>0.0399</v>
      </c>
      <c r="F39" s="61">
        <f t="shared" si="6"/>
        <v>0.0401</v>
      </c>
      <c r="G39" s="18">
        <f t="shared" si="6"/>
        <v>0.0476</v>
      </c>
      <c r="H39" s="18">
        <f t="shared" si="6"/>
        <v>0.0503</v>
      </c>
      <c r="I39" s="18">
        <f t="shared" si="6"/>
        <v>0.0522</v>
      </c>
      <c r="J39" s="18">
        <f t="shared" si="6"/>
        <v>0.0544</v>
      </c>
      <c r="K39" s="18">
        <f t="shared" si="6"/>
        <v>0.0563</v>
      </c>
      <c r="L39" s="18">
        <f t="shared" si="6"/>
        <v>0.0534</v>
      </c>
      <c r="M39" s="18">
        <f t="shared" si="6"/>
        <v>0.0604</v>
      </c>
      <c r="N39" s="18">
        <f t="shared" si="6"/>
        <v>0.0569</v>
      </c>
      <c r="O39" s="18">
        <f t="shared" si="6"/>
        <v>0.0533</v>
      </c>
      <c r="P39" s="18">
        <f t="shared" si="6"/>
        <v>0.0478</v>
      </c>
      <c r="Q39" s="18">
        <f t="shared" si="6"/>
        <v>0.0449</v>
      </c>
      <c r="R39" s="18">
        <f t="shared" si="6"/>
        <v>0.0504</v>
      </c>
      <c r="S39" s="18">
        <f t="shared" si="6"/>
        <v>0.0499</v>
      </c>
      <c r="T39" s="18">
        <f t="shared" si="6"/>
        <v>0.0484</v>
      </c>
      <c r="U39" s="18">
        <f t="shared" si="6"/>
        <v>0.0439</v>
      </c>
      <c r="V39" s="18">
        <f t="shared" si="6"/>
        <v>0.0442</v>
      </c>
      <c r="W39" s="18">
        <f t="shared" si="6"/>
        <v>0.042</v>
      </c>
      <c r="X39" s="62">
        <f t="shared" si="6"/>
        <v>0.0407</v>
      </c>
    </row>
    <row r="40" spans="1:24" s="2" customFormat="1" ht="21.75" customHeight="1">
      <c r="A40" s="10"/>
      <c r="B40" s="11"/>
      <c r="C40" s="12"/>
      <c r="D40" s="12"/>
      <c r="E40" s="12"/>
      <c r="F40" s="2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2" customFormat="1" ht="21.75" customHeight="1">
      <c r="A41" s="15"/>
      <c r="B41" s="16"/>
      <c r="C41" s="17"/>
      <c r="D41" s="17"/>
      <c r="E41" s="17"/>
      <c r="F41" s="22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6" customFormat="1" ht="21.75" customHeight="1">
      <c r="A42" s="35" t="s">
        <v>79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s="6" customFormat="1" ht="21.75" customHeight="1" thickBot="1">
      <c r="A43" s="13"/>
      <c r="B43" s="14"/>
      <c r="C43" s="14"/>
      <c r="D43" s="14"/>
      <c r="E43" s="14"/>
      <c r="F43" s="2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6" customFormat="1" ht="48" customHeight="1" thickBot="1">
      <c r="A44" s="63" t="s">
        <v>0</v>
      </c>
      <c r="B44" s="64" t="s">
        <v>1</v>
      </c>
      <c r="C44" s="64" t="s">
        <v>2</v>
      </c>
      <c r="D44" s="64" t="s">
        <v>3</v>
      </c>
      <c r="E44" s="64" t="s">
        <v>80</v>
      </c>
      <c r="F44" s="65" t="s">
        <v>5</v>
      </c>
      <c r="G44" s="64" t="s">
        <v>6</v>
      </c>
      <c r="H44" s="64" t="s">
        <v>7</v>
      </c>
      <c r="I44" s="64" t="s">
        <v>8</v>
      </c>
      <c r="J44" s="64" t="s">
        <v>9</v>
      </c>
      <c r="K44" s="64" t="s">
        <v>10</v>
      </c>
      <c r="L44" s="64" t="s">
        <v>11</v>
      </c>
      <c r="M44" s="64" t="s">
        <v>12</v>
      </c>
      <c r="N44" s="64" t="s">
        <v>13</v>
      </c>
      <c r="O44" s="64" t="s">
        <v>14</v>
      </c>
      <c r="P44" s="64" t="s">
        <v>15</v>
      </c>
      <c r="Q44" s="64" t="s">
        <v>16</v>
      </c>
      <c r="R44" s="64" t="s">
        <v>17</v>
      </c>
      <c r="S44" s="64" t="s">
        <v>18</v>
      </c>
      <c r="T44" s="64" t="s">
        <v>19</v>
      </c>
      <c r="U44" s="64" t="s">
        <v>20</v>
      </c>
      <c r="V44" s="64" t="s">
        <v>21</v>
      </c>
      <c r="W44" s="64" t="s">
        <v>22</v>
      </c>
      <c r="X44" s="66" t="s">
        <v>23</v>
      </c>
    </row>
    <row r="45" spans="1:24" s="2" customFormat="1" ht="58.5" customHeight="1">
      <c r="A45" s="67" t="s">
        <v>64</v>
      </c>
      <c r="B45" s="68" t="s">
        <v>82</v>
      </c>
      <c r="C45" s="69">
        <v>0</v>
      </c>
      <c r="D45" s="69">
        <v>0</v>
      </c>
      <c r="E45" s="69">
        <v>0</v>
      </c>
      <c r="F45" s="70">
        <v>0</v>
      </c>
      <c r="G45" s="69">
        <f>SUM(C47,D47,E47)/3</f>
        <v>0.04713333333333333</v>
      </c>
      <c r="H45" s="69">
        <f>SUM(D47,E47,G47)/3</f>
        <v>0.03526666666666667</v>
      </c>
      <c r="I45" s="69">
        <f>SUM(E47,G47,H47)/3</f>
        <v>0.04756666666666667</v>
      </c>
      <c r="J45" s="69">
        <f aca="true" t="shared" si="7" ref="J45:X45">SUM(G47:I47)/3</f>
        <v>0.0679</v>
      </c>
      <c r="K45" s="69">
        <f t="shared" si="7"/>
        <v>0.08213333333333334</v>
      </c>
      <c r="L45" s="69">
        <f t="shared" si="7"/>
        <v>0.09300000000000001</v>
      </c>
      <c r="M45" s="69">
        <f t="shared" si="7"/>
        <v>0.09793333333333333</v>
      </c>
      <c r="N45" s="69">
        <f t="shared" si="7"/>
        <v>0.09486666666666665</v>
      </c>
      <c r="O45" s="69">
        <f t="shared" si="7"/>
        <v>0.09366666666666668</v>
      </c>
      <c r="P45" s="69">
        <f t="shared" si="7"/>
        <v>0.09356666666666667</v>
      </c>
      <c r="Q45" s="69">
        <f t="shared" si="7"/>
        <v>0.0973</v>
      </c>
      <c r="R45" s="69">
        <f t="shared" si="7"/>
        <v>0.10246666666666666</v>
      </c>
      <c r="S45" s="69">
        <f t="shared" si="7"/>
        <v>0.1045</v>
      </c>
      <c r="T45" s="69">
        <f t="shared" si="7"/>
        <v>0.10439999999999999</v>
      </c>
      <c r="U45" s="69">
        <f t="shared" si="7"/>
        <v>0.1017</v>
      </c>
      <c r="V45" s="69">
        <f t="shared" si="7"/>
        <v>0.10006666666666668</v>
      </c>
      <c r="W45" s="69">
        <f t="shared" si="7"/>
        <v>0.0952</v>
      </c>
      <c r="X45" s="69">
        <f t="shared" si="7"/>
        <v>0.0902</v>
      </c>
    </row>
    <row r="46" spans="1:24" s="2" customFormat="1" ht="0.75" customHeight="1" hidden="1">
      <c r="A46" s="54" t="s">
        <v>65</v>
      </c>
      <c r="B46" s="55" t="s">
        <v>66</v>
      </c>
      <c r="C46" s="18">
        <f>ROUND((C26+C18+C38)/C11,4)</f>
        <v>0.0362</v>
      </c>
      <c r="D46" s="18">
        <f aca="true" t="shared" si="8" ref="D46:X46">ROUND((D26+D18+D38)/D11,4)</f>
        <v>0.0329</v>
      </c>
      <c r="E46" s="18">
        <f t="shared" si="8"/>
        <v>0.0399</v>
      </c>
      <c r="F46" s="61">
        <f t="shared" si="8"/>
        <v>0.0401</v>
      </c>
      <c r="G46" s="18">
        <f t="shared" si="8"/>
        <v>0.0476</v>
      </c>
      <c r="H46" s="18">
        <f t="shared" si="8"/>
        <v>0.0503</v>
      </c>
      <c r="I46" s="18">
        <f t="shared" si="8"/>
        <v>0.0522</v>
      </c>
      <c r="J46" s="18">
        <f t="shared" si="8"/>
        <v>0.0544</v>
      </c>
      <c r="K46" s="18">
        <f t="shared" si="8"/>
        <v>0.0563</v>
      </c>
      <c r="L46" s="18">
        <f t="shared" si="8"/>
        <v>0.0534</v>
      </c>
      <c r="M46" s="18">
        <f t="shared" si="8"/>
        <v>0.0604</v>
      </c>
      <c r="N46" s="18">
        <f t="shared" si="8"/>
        <v>0.0569</v>
      </c>
      <c r="O46" s="18">
        <f t="shared" si="8"/>
        <v>0.0533</v>
      </c>
      <c r="P46" s="18">
        <f t="shared" si="8"/>
        <v>0.0478</v>
      </c>
      <c r="Q46" s="18">
        <f t="shared" si="8"/>
        <v>0.0449</v>
      </c>
      <c r="R46" s="18">
        <f t="shared" si="8"/>
        <v>0.0504</v>
      </c>
      <c r="S46" s="18">
        <f t="shared" si="8"/>
        <v>0.0499</v>
      </c>
      <c r="T46" s="18">
        <f t="shared" si="8"/>
        <v>0.0484</v>
      </c>
      <c r="U46" s="18">
        <f t="shared" si="8"/>
        <v>0.0439</v>
      </c>
      <c r="V46" s="18">
        <f t="shared" si="8"/>
        <v>0.0442</v>
      </c>
      <c r="W46" s="18">
        <f t="shared" si="8"/>
        <v>0.042</v>
      </c>
      <c r="X46" s="62">
        <f t="shared" si="8"/>
        <v>0.0407</v>
      </c>
    </row>
    <row r="47" spans="1:24" s="2" customFormat="1" ht="45.75" customHeight="1" hidden="1">
      <c r="A47" s="54" t="s">
        <v>67</v>
      </c>
      <c r="B47" s="55" t="s">
        <v>68</v>
      </c>
      <c r="C47" s="18">
        <f aca="true" t="shared" si="9" ref="C47:X47">ROUND((C12-C51+C14)/C11,4)</f>
        <v>0.0916</v>
      </c>
      <c r="D47" s="18">
        <f t="shared" si="9"/>
        <v>0.0271</v>
      </c>
      <c r="E47" s="18">
        <f t="shared" si="9"/>
        <v>0.0227</v>
      </c>
      <c r="F47" s="61">
        <f t="shared" si="9"/>
        <v>0.0139</v>
      </c>
      <c r="G47" s="18">
        <f t="shared" si="9"/>
        <v>0.056</v>
      </c>
      <c r="H47" s="18">
        <f t="shared" si="9"/>
        <v>0.064</v>
      </c>
      <c r="I47" s="18">
        <f t="shared" si="9"/>
        <v>0.0837</v>
      </c>
      <c r="J47" s="18">
        <f t="shared" si="9"/>
        <v>0.0987</v>
      </c>
      <c r="K47" s="18">
        <f t="shared" si="9"/>
        <v>0.0966</v>
      </c>
      <c r="L47" s="18">
        <f t="shared" si="9"/>
        <v>0.0985</v>
      </c>
      <c r="M47" s="18">
        <f t="shared" si="9"/>
        <v>0.0895</v>
      </c>
      <c r="N47" s="18">
        <f t="shared" si="9"/>
        <v>0.093</v>
      </c>
      <c r="O47" s="18">
        <f t="shared" si="9"/>
        <v>0.0982</v>
      </c>
      <c r="P47" s="18">
        <f t="shared" si="9"/>
        <v>0.1007</v>
      </c>
      <c r="Q47" s="18">
        <f t="shared" si="9"/>
        <v>0.1085</v>
      </c>
      <c r="R47" s="18">
        <f t="shared" si="9"/>
        <v>0.1043</v>
      </c>
      <c r="S47" s="18">
        <f t="shared" si="9"/>
        <v>0.1004</v>
      </c>
      <c r="T47" s="18">
        <f t="shared" si="9"/>
        <v>0.1004</v>
      </c>
      <c r="U47" s="18">
        <f t="shared" si="9"/>
        <v>0.0994</v>
      </c>
      <c r="V47" s="18">
        <f t="shared" si="9"/>
        <v>0.0858</v>
      </c>
      <c r="W47" s="18">
        <f t="shared" si="9"/>
        <v>0.0854</v>
      </c>
      <c r="X47" s="62">
        <f t="shared" si="9"/>
        <v>0.0858</v>
      </c>
    </row>
    <row r="48" spans="1:24" s="2" customFormat="1" ht="59.25" customHeight="1">
      <c r="A48" s="54">
        <v>16</v>
      </c>
      <c r="B48" s="55" t="s">
        <v>69</v>
      </c>
      <c r="C48" s="71" t="s">
        <v>77</v>
      </c>
      <c r="D48" s="71" t="s">
        <v>77</v>
      </c>
      <c r="E48" s="71" t="s">
        <v>77</v>
      </c>
      <c r="F48" s="72" t="s">
        <v>77</v>
      </c>
      <c r="G48" s="71" t="str">
        <f aca="true" t="shared" si="10" ref="G48:X48">IF(G46&lt;=G45,"TAK","NIE")</f>
        <v>NIE</v>
      </c>
      <c r="H48" s="71" t="str">
        <f t="shared" si="10"/>
        <v>NIE</v>
      </c>
      <c r="I48" s="71" t="str">
        <f t="shared" si="10"/>
        <v>NIE</v>
      </c>
      <c r="J48" s="71" t="str">
        <f t="shared" si="10"/>
        <v>TAK</v>
      </c>
      <c r="K48" s="71" t="str">
        <f t="shared" si="10"/>
        <v>TAK</v>
      </c>
      <c r="L48" s="71" t="str">
        <f t="shared" si="10"/>
        <v>TAK</v>
      </c>
      <c r="M48" s="71" t="str">
        <f t="shared" si="10"/>
        <v>TAK</v>
      </c>
      <c r="N48" s="71" t="str">
        <f t="shared" si="10"/>
        <v>TAK</v>
      </c>
      <c r="O48" s="71" t="str">
        <f t="shared" si="10"/>
        <v>TAK</v>
      </c>
      <c r="P48" s="71" t="str">
        <f t="shared" si="10"/>
        <v>TAK</v>
      </c>
      <c r="Q48" s="71" t="str">
        <f t="shared" si="10"/>
        <v>TAK</v>
      </c>
      <c r="R48" s="71" t="str">
        <f t="shared" si="10"/>
        <v>TAK</v>
      </c>
      <c r="S48" s="71" t="str">
        <f t="shared" si="10"/>
        <v>TAK</v>
      </c>
      <c r="T48" s="71" t="str">
        <f t="shared" si="10"/>
        <v>TAK</v>
      </c>
      <c r="U48" s="71" t="str">
        <f t="shared" si="10"/>
        <v>TAK</v>
      </c>
      <c r="V48" s="71" t="str">
        <f t="shared" si="10"/>
        <v>TAK</v>
      </c>
      <c r="W48" s="71" t="str">
        <f t="shared" si="10"/>
        <v>TAK</v>
      </c>
      <c r="X48" s="73" t="str">
        <f t="shared" si="10"/>
        <v>TAK</v>
      </c>
    </row>
    <row r="49" spans="1:24" s="2" customFormat="1" ht="34.5" customHeight="1">
      <c r="A49" s="54">
        <v>17</v>
      </c>
      <c r="B49" s="55" t="s">
        <v>70</v>
      </c>
      <c r="C49" s="18">
        <f>(C27+C18+C28-C19-C37)/C11</f>
        <v>0.036246480511802674</v>
      </c>
      <c r="D49" s="18">
        <f aca="true" t="shared" si="11" ref="D49:X49">(D27+D18+D28-D19-D37)/D11</f>
        <v>0.03291012338555504</v>
      </c>
      <c r="E49" s="18">
        <f t="shared" si="11"/>
        <v>0.03989458508921199</v>
      </c>
      <c r="F49" s="61">
        <f>(F27+F18+F28-F19-F37)/F11</f>
        <v>0.04012418471022219</v>
      </c>
      <c r="G49" s="18">
        <f t="shared" si="11"/>
        <v>0.047550011800185726</v>
      </c>
      <c r="H49" s="18">
        <f t="shared" si="11"/>
        <v>0.05025756688066783</v>
      </c>
      <c r="I49" s="18">
        <f t="shared" si="11"/>
        <v>0.052225845316549044</v>
      </c>
      <c r="J49" s="18">
        <f t="shared" si="11"/>
        <v>0.05442953960537604</v>
      </c>
      <c r="K49" s="18">
        <f t="shared" si="11"/>
        <v>0.0562683179126139</v>
      </c>
      <c r="L49" s="18">
        <f t="shared" si="11"/>
        <v>0.053381463774784685</v>
      </c>
      <c r="M49" s="18">
        <f t="shared" si="11"/>
        <v>0.060430603907730925</v>
      </c>
      <c r="N49" s="18">
        <f t="shared" si="11"/>
        <v>0.05691690226488126</v>
      </c>
      <c r="O49" s="18">
        <f t="shared" si="11"/>
        <v>0.05329651702484496</v>
      </c>
      <c r="P49" s="18">
        <f t="shared" si="11"/>
        <v>0.047846582424192145</v>
      </c>
      <c r="Q49" s="18">
        <f t="shared" si="11"/>
        <v>0.04491055311270539</v>
      </c>
      <c r="R49" s="18">
        <f t="shared" si="11"/>
        <v>0.050371785603635234</v>
      </c>
      <c r="S49" s="18">
        <f t="shared" si="11"/>
        <v>0.04988201737326591</v>
      </c>
      <c r="T49" s="18">
        <f t="shared" si="11"/>
        <v>0.04836392864550923</v>
      </c>
      <c r="U49" s="18">
        <f t="shared" si="11"/>
        <v>0.043908959687906375</v>
      </c>
      <c r="V49" s="18">
        <f t="shared" si="11"/>
        <v>0.04417898627243928</v>
      </c>
      <c r="W49" s="18">
        <f t="shared" si="11"/>
        <v>0.04197729672650475</v>
      </c>
      <c r="X49" s="18">
        <f t="shared" si="11"/>
        <v>0.04068637925026399</v>
      </c>
    </row>
    <row r="50" spans="1:24" s="2" customFormat="1" ht="34.5" customHeight="1">
      <c r="A50" s="54">
        <v>18</v>
      </c>
      <c r="B50" s="55" t="s">
        <v>71</v>
      </c>
      <c r="C50" s="18">
        <f>(C35-C36)/C11</f>
        <v>0.19079241488673676</v>
      </c>
      <c r="D50" s="18">
        <f aca="true" t="shared" si="12" ref="D50:X50">(D35-D36)/D11</f>
        <v>0.31642616368242416</v>
      </c>
      <c r="E50" s="18">
        <f t="shared" si="12"/>
        <v>0.4658296327786487</v>
      </c>
      <c r="F50" s="61">
        <f t="shared" si="12"/>
        <v>0.47161317882328935</v>
      </c>
      <c r="G50" s="18">
        <f t="shared" si="12"/>
        <v>0.5399565212294043</v>
      </c>
      <c r="H50" s="18">
        <f t="shared" si="12"/>
        <v>0.5657348242193966</v>
      </c>
      <c r="I50" s="18">
        <f t="shared" si="12"/>
        <v>0.5496538219577173</v>
      </c>
      <c r="J50" s="18">
        <f t="shared" si="12"/>
        <v>0.5199479247666832</v>
      </c>
      <c r="K50" s="18">
        <f t="shared" si="12"/>
        <v>0.4876927656458854</v>
      </c>
      <c r="L50" s="18">
        <f t="shared" si="12"/>
        <v>0.4547622730026023</v>
      </c>
      <c r="M50" s="18">
        <f t="shared" si="12"/>
        <v>0.41914654048717986</v>
      </c>
      <c r="N50" s="18">
        <f t="shared" si="12"/>
        <v>0.3790048709593054</v>
      </c>
      <c r="O50" s="18">
        <f t="shared" si="12"/>
        <v>0.34002434171899576</v>
      </c>
      <c r="P50" s="18">
        <f t="shared" si="12"/>
        <v>0.30584545064711494</v>
      </c>
      <c r="Q50" s="18">
        <f t="shared" si="12"/>
        <v>0.27134921304224846</v>
      </c>
      <c r="R50" s="18">
        <f t="shared" si="12"/>
        <v>0.23346327445006712</v>
      </c>
      <c r="S50" s="18">
        <f t="shared" si="12"/>
        <v>0.19428236862440035</v>
      </c>
      <c r="T50" s="18">
        <f t="shared" si="12"/>
        <v>0.15381921660443892</v>
      </c>
      <c r="U50" s="18">
        <f t="shared" si="12"/>
        <v>0.11657997518855658</v>
      </c>
      <c r="V50" s="18">
        <f t="shared" si="12"/>
        <v>0.07873548167898628</v>
      </c>
      <c r="W50" s="18">
        <f t="shared" si="12"/>
        <v>0.039598734054910247</v>
      </c>
      <c r="X50" s="62">
        <f t="shared" si="12"/>
        <v>0</v>
      </c>
    </row>
    <row r="51" spans="1:24" s="2" customFormat="1" ht="34.5" customHeight="1">
      <c r="A51" s="54">
        <v>19</v>
      </c>
      <c r="B51" s="60" t="s">
        <v>72</v>
      </c>
      <c r="C51" s="56">
        <f>C15+C28</f>
        <v>298488990.28000003</v>
      </c>
      <c r="D51" s="56">
        <f aca="true" t="shared" si="13" ref="D51:X51">D15+D28</f>
        <v>330095060.31</v>
      </c>
      <c r="E51" s="56">
        <f t="shared" si="13"/>
        <v>334274418.22</v>
      </c>
      <c r="F51" s="57">
        <f t="shared" si="13"/>
        <v>330811528.36</v>
      </c>
      <c r="G51" s="56">
        <f t="shared" si="13"/>
        <v>338580660.78</v>
      </c>
      <c r="H51" s="56">
        <f t="shared" si="13"/>
        <v>340210661</v>
      </c>
      <c r="I51" s="56">
        <f t="shared" si="13"/>
        <v>343239000</v>
      </c>
      <c r="J51" s="56">
        <f t="shared" si="13"/>
        <v>346293000</v>
      </c>
      <c r="K51" s="56">
        <f t="shared" si="13"/>
        <v>346293000</v>
      </c>
      <c r="L51" s="56">
        <f t="shared" si="13"/>
        <v>346293000</v>
      </c>
      <c r="M51" s="56">
        <f t="shared" si="13"/>
        <v>346293000</v>
      </c>
      <c r="N51" s="56">
        <f t="shared" si="13"/>
        <v>346292950.25</v>
      </c>
      <c r="O51" s="56">
        <f t="shared" si="13"/>
        <v>346293000</v>
      </c>
      <c r="P51" s="56">
        <f t="shared" si="13"/>
        <v>346293000</v>
      </c>
      <c r="Q51" s="56">
        <f t="shared" si="13"/>
        <v>346118000</v>
      </c>
      <c r="R51" s="56">
        <f t="shared" si="13"/>
        <v>346293000</v>
      </c>
      <c r="S51" s="56">
        <f t="shared" si="13"/>
        <v>346293000</v>
      </c>
      <c r="T51" s="56">
        <f t="shared" si="13"/>
        <v>346293000</v>
      </c>
      <c r="U51" s="56">
        <f t="shared" si="13"/>
        <v>346293000</v>
      </c>
      <c r="V51" s="56">
        <f t="shared" si="13"/>
        <v>346293000</v>
      </c>
      <c r="W51" s="56">
        <f t="shared" si="13"/>
        <v>346468000</v>
      </c>
      <c r="X51" s="58">
        <f t="shared" si="13"/>
        <v>346293000</v>
      </c>
    </row>
    <row r="52" spans="1:24" s="2" customFormat="1" ht="34.5" customHeight="1">
      <c r="A52" s="54">
        <v>20</v>
      </c>
      <c r="B52" s="60" t="s">
        <v>73</v>
      </c>
      <c r="C52" s="56">
        <f aca="true" t="shared" si="14" ref="C52:X52">C31+C51</f>
        <v>352702306.09000003</v>
      </c>
      <c r="D52" s="56">
        <f t="shared" si="14"/>
        <v>392700032</v>
      </c>
      <c r="E52" s="56">
        <f t="shared" si="14"/>
        <v>405437607.1</v>
      </c>
      <c r="F52" s="57">
        <f t="shared" si="14"/>
        <v>393254876.02</v>
      </c>
      <c r="G52" s="56">
        <f t="shared" si="14"/>
        <v>406914328.65</v>
      </c>
      <c r="H52" s="56">
        <f t="shared" si="14"/>
        <v>414753000</v>
      </c>
      <c r="I52" s="56">
        <f t="shared" si="14"/>
        <v>374666678</v>
      </c>
      <c r="J52" s="56">
        <f t="shared" si="14"/>
        <v>372994589</v>
      </c>
      <c r="K52" s="56">
        <f t="shared" si="14"/>
        <v>370954726</v>
      </c>
      <c r="L52" s="56">
        <f t="shared" si="14"/>
        <v>372421126</v>
      </c>
      <c r="M52" s="56">
        <f t="shared" si="14"/>
        <v>365602829</v>
      </c>
      <c r="N52" s="56">
        <f t="shared" si="14"/>
        <v>367629253.25</v>
      </c>
      <c r="O52" s="56">
        <f t="shared" si="14"/>
        <v>370436959</v>
      </c>
      <c r="P52" s="56">
        <f t="shared" si="14"/>
        <v>372911999</v>
      </c>
      <c r="Q52" s="56">
        <f t="shared" si="14"/>
        <v>376446735</v>
      </c>
      <c r="R52" s="56">
        <f t="shared" si="14"/>
        <v>372220000</v>
      </c>
      <c r="S52" s="56">
        <f t="shared" si="14"/>
        <v>370150000</v>
      </c>
      <c r="T52" s="56">
        <f t="shared" si="14"/>
        <v>370080000</v>
      </c>
      <c r="U52" s="56">
        <f t="shared" si="14"/>
        <v>370000005</v>
      </c>
      <c r="V52" s="56">
        <f t="shared" si="14"/>
        <v>363800000</v>
      </c>
      <c r="W52" s="56">
        <f t="shared" si="14"/>
        <v>363975000</v>
      </c>
      <c r="X52" s="58">
        <f t="shared" si="14"/>
        <v>363799999.54</v>
      </c>
    </row>
    <row r="53" spans="1:24" s="2" customFormat="1" ht="34.5" customHeight="1">
      <c r="A53" s="54">
        <v>21</v>
      </c>
      <c r="B53" s="60" t="s">
        <v>74</v>
      </c>
      <c r="C53" s="56">
        <f aca="true" t="shared" si="15" ref="C53:X53">C11-C52</f>
        <v>-17436801.180000007</v>
      </c>
      <c r="D53" s="56">
        <f t="shared" si="15"/>
        <v>-45983912.879999995</v>
      </c>
      <c r="E53" s="56">
        <f t="shared" si="15"/>
        <v>-54000000.00000006</v>
      </c>
      <c r="F53" s="57">
        <f t="shared" si="15"/>
        <v>-46126957.26999998</v>
      </c>
      <c r="G53" s="56">
        <f t="shared" si="15"/>
        <v>-36353000</v>
      </c>
      <c r="H53" s="56">
        <f t="shared" si="15"/>
        <v>-22076000</v>
      </c>
      <c r="I53" s="56">
        <f t="shared" si="15"/>
        <v>10455322</v>
      </c>
      <c r="J53" s="56">
        <f t="shared" si="15"/>
        <v>11675411</v>
      </c>
      <c r="K53" s="56">
        <f t="shared" si="15"/>
        <v>12836274</v>
      </c>
      <c r="L53" s="56">
        <f t="shared" si="15"/>
        <v>12241874</v>
      </c>
      <c r="M53" s="56">
        <f t="shared" si="15"/>
        <v>15283171</v>
      </c>
      <c r="N53" s="56">
        <f t="shared" si="15"/>
        <v>14730746.75</v>
      </c>
      <c r="O53" s="56">
        <f t="shared" si="15"/>
        <v>14148041</v>
      </c>
      <c r="P53" s="56">
        <f t="shared" si="15"/>
        <v>12800001</v>
      </c>
      <c r="Q53" s="56">
        <f t="shared" si="15"/>
        <v>12443265</v>
      </c>
      <c r="R53" s="56">
        <f t="shared" si="15"/>
        <v>15100000</v>
      </c>
      <c r="S53" s="56">
        <f t="shared" si="15"/>
        <v>15500000</v>
      </c>
      <c r="T53" s="56">
        <f t="shared" si="15"/>
        <v>15600000</v>
      </c>
      <c r="U53" s="56">
        <f t="shared" si="15"/>
        <v>14499995</v>
      </c>
      <c r="V53" s="56">
        <f t="shared" si="15"/>
        <v>15000000</v>
      </c>
      <c r="W53" s="56">
        <f t="shared" si="15"/>
        <v>14825000</v>
      </c>
      <c r="X53" s="58">
        <f t="shared" si="15"/>
        <v>15000000.459999979</v>
      </c>
    </row>
    <row r="54" spans="1:24" s="2" customFormat="1" ht="34.5" customHeight="1">
      <c r="A54" s="54">
        <v>22</v>
      </c>
      <c r="B54" s="60" t="s">
        <v>75</v>
      </c>
      <c r="C54" s="56">
        <f>C22+C24+C33</f>
        <v>33128603.93</v>
      </c>
      <c r="D54" s="56">
        <f aca="true" t="shared" si="16" ref="D54:X54">D22+D24+D33</f>
        <v>61403507</v>
      </c>
      <c r="E54" s="56">
        <f t="shared" si="16"/>
        <v>64019957.52</v>
      </c>
      <c r="F54" s="57">
        <f t="shared" si="16"/>
        <v>70518783.86</v>
      </c>
      <c r="G54" s="56">
        <f t="shared" si="16"/>
        <v>46473195.55</v>
      </c>
      <c r="H54" s="56">
        <f t="shared" si="16"/>
        <v>32790990.59</v>
      </c>
      <c r="I54" s="56">
        <f t="shared" si="16"/>
        <v>0</v>
      </c>
      <c r="J54" s="56">
        <f t="shared" si="16"/>
        <v>0</v>
      </c>
      <c r="K54" s="56">
        <f t="shared" si="16"/>
        <v>0</v>
      </c>
      <c r="L54" s="56">
        <f t="shared" si="16"/>
        <v>0</v>
      </c>
      <c r="M54" s="56">
        <f t="shared" si="16"/>
        <v>0</v>
      </c>
      <c r="N54" s="56">
        <f t="shared" si="16"/>
        <v>0</v>
      </c>
      <c r="O54" s="56">
        <f t="shared" si="16"/>
        <v>0</v>
      </c>
      <c r="P54" s="56">
        <f t="shared" si="16"/>
        <v>0</v>
      </c>
      <c r="Q54" s="56">
        <f t="shared" si="16"/>
        <v>0</v>
      </c>
      <c r="R54" s="56">
        <f t="shared" si="16"/>
        <v>0</v>
      </c>
      <c r="S54" s="56">
        <f t="shared" si="16"/>
        <v>0</v>
      </c>
      <c r="T54" s="56">
        <f t="shared" si="16"/>
        <v>0</v>
      </c>
      <c r="U54" s="56">
        <f t="shared" si="16"/>
        <v>0</v>
      </c>
      <c r="V54" s="56">
        <f t="shared" si="16"/>
        <v>0</v>
      </c>
      <c r="W54" s="56">
        <f t="shared" si="16"/>
        <v>0</v>
      </c>
      <c r="X54" s="58">
        <f t="shared" si="16"/>
        <v>0</v>
      </c>
    </row>
    <row r="55" spans="1:24" s="2" customFormat="1" ht="34.5" customHeight="1" thickBot="1">
      <c r="A55" s="74">
        <v>23</v>
      </c>
      <c r="B55" s="75" t="s">
        <v>76</v>
      </c>
      <c r="C55" s="76">
        <f>C27+C29</f>
        <v>9147999.68</v>
      </c>
      <c r="D55" s="76">
        <f aca="true" t="shared" si="17" ref="D55:X55">D27+D29</f>
        <v>8920767.78</v>
      </c>
      <c r="E55" s="76">
        <f t="shared" si="17"/>
        <v>10019957.52</v>
      </c>
      <c r="F55" s="77">
        <f t="shared" si="17"/>
        <v>10019907.76</v>
      </c>
      <c r="G55" s="76">
        <f t="shared" si="17"/>
        <v>10120195.55</v>
      </c>
      <c r="H55" s="76">
        <f t="shared" si="17"/>
        <v>10714990.59</v>
      </c>
      <c r="I55" s="76">
        <f t="shared" si="17"/>
        <v>10455322</v>
      </c>
      <c r="J55" s="76">
        <f t="shared" si="17"/>
        <v>11675411</v>
      </c>
      <c r="K55" s="76">
        <f t="shared" si="17"/>
        <v>12836274</v>
      </c>
      <c r="L55" s="76">
        <f t="shared" si="17"/>
        <v>12241874</v>
      </c>
      <c r="M55" s="76">
        <f t="shared" si="17"/>
        <v>15283171</v>
      </c>
      <c r="N55" s="76">
        <f t="shared" si="17"/>
        <v>14730746.75</v>
      </c>
      <c r="O55" s="76">
        <f t="shared" si="17"/>
        <v>14148041</v>
      </c>
      <c r="P55" s="76">
        <f t="shared" si="17"/>
        <v>12800001</v>
      </c>
      <c r="Q55" s="76">
        <f t="shared" si="17"/>
        <v>12443265</v>
      </c>
      <c r="R55" s="76">
        <f t="shared" si="17"/>
        <v>15100000</v>
      </c>
      <c r="S55" s="76">
        <f t="shared" si="17"/>
        <v>15500000</v>
      </c>
      <c r="T55" s="76">
        <f t="shared" si="17"/>
        <v>15600000</v>
      </c>
      <c r="U55" s="76">
        <f t="shared" si="17"/>
        <v>14499995</v>
      </c>
      <c r="V55" s="76">
        <f t="shared" si="17"/>
        <v>15000000</v>
      </c>
      <c r="W55" s="76">
        <f t="shared" si="17"/>
        <v>14825000</v>
      </c>
      <c r="X55" s="78">
        <f t="shared" si="17"/>
        <v>15000000.46</v>
      </c>
    </row>
    <row r="56" spans="1:24" ht="21.75" customHeight="1">
      <c r="A56" s="79"/>
      <c r="B56" s="80"/>
      <c r="C56" s="80"/>
      <c r="D56" s="80"/>
      <c r="E56" s="80"/>
      <c r="F56" s="81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</row>
    <row r="57" ht="21.75" customHeight="1"/>
    <row r="58" spans="1:24" ht="21.75" customHeight="1">
      <c r="A58" s="30" t="s">
        <v>86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 t="s">
        <v>87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21.75" customHeight="1">
      <c r="A59" s="26"/>
      <c r="B59" s="27"/>
      <c r="C59" s="27"/>
      <c r="D59" s="27"/>
      <c r="E59" s="27"/>
      <c r="F59" s="28"/>
      <c r="G59" s="27"/>
      <c r="H59" s="27"/>
      <c r="I59" s="27"/>
      <c r="J59" s="27"/>
      <c r="K59" s="27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21.75" customHeight="1">
      <c r="A60" s="30" t="s">
        <v>88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 t="s">
        <v>81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</sheetData>
  <sheetProtection/>
  <mergeCells count="15">
    <mergeCell ref="V1:X1"/>
    <mergeCell ref="V2:X2"/>
    <mergeCell ref="A3:I3"/>
    <mergeCell ref="V3:X3"/>
    <mergeCell ref="A4:H4"/>
    <mergeCell ref="V4:X4"/>
    <mergeCell ref="L58:X58"/>
    <mergeCell ref="L60:X60"/>
    <mergeCell ref="A60:K60"/>
    <mergeCell ref="A7:X7"/>
    <mergeCell ref="B8:F8"/>
    <mergeCell ref="G8:I8"/>
    <mergeCell ref="A9:I9"/>
    <mergeCell ref="A42:X42"/>
    <mergeCell ref="A58:K58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8" scale="60" r:id="rId1"/>
  <ignoredErrors>
    <ignoredError sqref="C11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msoltys</cp:lastModifiedBy>
  <cp:lastPrinted>2011-03-17T08:53:41Z</cp:lastPrinted>
  <dcterms:created xsi:type="dcterms:W3CDTF">2010-12-13T07:21:27Z</dcterms:created>
  <dcterms:modified xsi:type="dcterms:W3CDTF">2011-07-11T09:13:00Z</dcterms:modified>
  <cp:category/>
  <cp:version/>
  <cp:contentType/>
  <cp:contentStatus/>
</cp:coreProperties>
</file>