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6" yWindow="65386" windowWidth="19320" windowHeight="11595" activeTab="0"/>
  </bookViews>
  <sheets>
    <sheet name="przedsiewzięcia" sheetId="1" r:id="rId1"/>
    <sheet name="Raport zgodności" sheetId="2" r:id="rId2"/>
  </sheets>
  <definedNames>
    <definedName name="_xlnm.Print_Area" localSheetId="0">'przedsiewzięcia'!$A$1:$M$254</definedName>
  </definedNames>
  <calcPr fullCalcOnLoad="1"/>
</workbook>
</file>

<file path=xl/sharedStrings.xml><?xml version="1.0" encoding="utf-8"?>
<sst xmlns="http://schemas.openxmlformats.org/spreadsheetml/2006/main" count="415" uniqueCount="139">
  <si>
    <t>Nazwa i cel</t>
  </si>
  <si>
    <t>Łączne nakłady finansowe</t>
  </si>
  <si>
    <t>Jednostka odpowiedzialna lub koordynująca</t>
  </si>
  <si>
    <t>Zarząd Dróg</t>
  </si>
  <si>
    <t>Miejskich</t>
  </si>
  <si>
    <t>- przebudowa ul. Libana</t>
  </si>
  <si>
    <t xml:space="preserve">Zarząd </t>
  </si>
  <si>
    <t>Gospodarki</t>
  </si>
  <si>
    <t>Mieszkaniowej</t>
  </si>
  <si>
    <t>w tym:</t>
  </si>
  <si>
    <t>Rady Miejskiej Legnicy</t>
  </si>
  <si>
    <t>od</t>
  </si>
  <si>
    <t>do</t>
  </si>
  <si>
    <t xml:space="preserve">Miejski </t>
  </si>
  <si>
    <t xml:space="preserve">Ośrodek </t>
  </si>
  <si>
    <t>Pomocy</t>
  </si>
  <si>
    <t>Społecznej</t>
  </si>
  <si>
    <t>Regionalny Program Operacyjny dla Województwa Dolnośląskiego na lata 2007 – 2013</t>
  </si>
  <si>
    <t>Cel: Czynna ochrona przyrody prowadząca do ograniczenia degradacji środowiska oraz strat zasobów różnorodności biologicznej, zgodnie z Polityką Ekologiczną Państwa oraz Krajową Strategią Ochrony i Umiarkowanego Użytkowania Różnorodności Biologicznej</t>
  </si>
  <si>
    <t>Okres realizacji</t>
  </si>
  <si>
    <t>Przedsięwzięcia ogółem</t>
  </si>
  <si>
    <t>- wydatki bieżące</t>
  </si>
  <si>
    <t>- wydatki majątkowe</t>
  </si>
  <si>
    <t>Cel: Standaryzacja bazy materialnej obiektów oświatowych - obiekty sportowe, dydaktyczne.</t>
  </si>
  <si>
    <t>Cel: Ochrona zabytków i rewitalizacja istniejących obiektów - placówek kultury, turystyki i sportu.</t>
  </si>
  <si>
    <t>Cel: Poprawa jakości obsługi mieszkańców, budowa podstaw społeczeństwa infomacyjnego i modernizacja bazy lokalowej Urzędu Miasta Legnica.</t>
  </si>
  <si>
    <t>Cel: Ratowanie i odzyskiwanie dla mieszkańców zdegradowanych i zagrożonych zniszczeniem obszarów miasta, w tym cennych z uwagi na walory architektoniczne oraz kreowanie wizerunku miasta.</t>
  </si>
  <si>
    <t>1) programy, projekty lub zadania (razem)</t>
  </si>
  <si>
    <t>Odnowa zdegradowanych obszarów miejskich w rejonie ul. H. Pobożnego</t>
  </si>
  <si>
    <t>- renowacja części wspólnych wielorodzinnych budynków mieszkalnych</t>
  </si>
  <si>
    <t>- przebudowa infrastruktury przestrzeni publicznej ul. Libana</t>
  </si>
  <si>
    <t>Południowo-Zachodni Szlak Cysterski, w tym:</t>
  </si>
  <si>
    <t>Program Ochrona Przyrody</t>
  </si>
  <si>
    <t>2010</t>
  </si>
  <si>
    <t>2011</t>
  </si>
  <si>
    <t>Cel: Odnowa zdegradowanych obszarów miejskich w miastach województwa dolnośląskiego liczących powyżej 10 tysięcy mieszkańców</t>
  </si>
  <si>
    <t>z tego zadania:</t>
  </si>
  <si>
    <t>z tego zadanie:</t>
  </si>
  <si>
    <t>Budowa Zbiorczej Drogi Południowej w Legnicy</t>
  </si>
  <si>
    <t>Wykorzystaj szansę, zdobądź zatrudnienie</t>
  </si>
  <si>
    <t>Cel: Modernizacja układu komunikacyjnego w celu usprawnienia ruchu kołowego i bezpieczeństwa w mieście oraz polepszenia jakości funkcjonowania systemu transportu publicznego.</t>
  </si>
  <si>
    <t>-  II Etap V Dywizji Piechoty</t>
  </si>
  <si>
    <t>Remont i rewaloryzacja Akademii Rycerskiej ul. Chojnowska 2 w Legnicy</t>
  </si>
  <si>
    <t>Rozbudowa Stadionu Sportowego im. Orła Białego</t>
  </si>
  <si>
    <t>Urząd</t>
  </si>
  <si>
    <t xml:space="preserve">Miasta </t>
  </si>
  <si>
    <t>Legnicy</t>
  </si>
  <si>
    <t>Przygotowanie dokumentacji dla terenów produkcyjno-usługowych w Legnicy</t>
  </si>
  <si>
    <t>- przebudowa parkingów w rejonie Zamku Piastowskiego</t>
  </si>
  <si>
    <t>Etap I od ul. Lubińskiej do Szczytnickiej</t>
  </si>
  <si>
    <t>(w tym doposażenie  w sprzęt komputerowy)</t>
  </si>
  <si>
    <t>Cel: Wsparcie inwestycji dla stworzenia konkurencyjnych i innowacyjnych produktów turystycznych o charakterze unikatowym i ponadregionalnym, przy jednoczesnym zachowaniu chłonności terenów turystycznych i ich pojemności turystycznej</t>
  </si>
  <si>
    <t>Program z zakresu komunikacji i transportu.</t>
  </si>
  <si>
    <t>Program z zakresu oświaty.</t>
  </si>
  <si>
    <t>Program z zakresu kultury, turystyki i sportu.</t>
  </si>
  <si>
    <t>Program z zakresu budownictwa komunalnego i infrastruktury komunalnej.</t>
  </si>
  <si>
    <t>Program z zakresu usprawnienia obsługi mieszkańców.</t>
  </si>
  <si>
    <t>Program z zakresu rewitalizacji zdegradowanych obszarów miasta.</t>
  </si>
  <si>
    <t>- Etap II od ul. Wojska Polskiego do al. Rzeczypospolitej z budową mostu na rzece Kaczawie</t>
  </si>
  <si>
    <t xml:space="preserve">Przebudowa ulic: Bydgoskiej (od Lubińskiej do Szczytnickiej) i Szczytnickiej, </t>
  </si>
  <si>
    <t>a) programy, projekty lub zadania związane z programami realizowanymi z udziałem środków, o których mowa w art. 5 ust. 1 pkt 2 i 3, (razem)</t>
  </si>
  <si>
    <t>c) programy, projekty lub zadania pozostałe (inne niż wymienione w lit. a i b) (razem)</t>
  </si>
  <si>
    <t>b) programy, projekty lub zadania związane z umowami partnerstwa publicznoprywatnego (razem)</t>
  </si>
  <si>
    <t xml:space="preserve">  - 2 -</t>
  </si>
  <si>
    <t xml:space="preserve">  - 3 -</t>
  </si>
  <si>
    <t>3) gwarancje i poręczenia udzielane przez jednostki samorządu terytorialnego (razem)</t>
  </si>
  <si>
    <t>2) umowy, których realizacja w roku budżetowym i w latach następnych jest niezbędna dla zapewnienia ciągłości działania jednostki i których płatności przypadają w okresie dłuższym niż rok</t>
  </si>
  <si>
    <t>Cel: Poprawa bazy mieszkaniowej w mieście, uzbrojenie terenów inwestycyjnych w sieci wodno-kanalizacyjne, budowa dróg, oświetlenia, cmentarza komunalnego.</t>
  </si>
  <si>
    <t>Limit 2011</t>
  </si>
  <si>
    <t>Limit 2012</t>
  </si>
  <si>
    <t>Limit 2013</t>
  </si>
  <si>
    <t>Limit 2014</t>
  </si>
  <si>
    <t>Limit 2015</t>
  </si>
  <si>
    <t>Limit 2016</t>
  </si>
  <si>
    <t>Limit 2017</t>
  </si>
  <si>
    <t>Program Operacyjny Innowacyjna Gospodarka, 2007-2013</t>
  </si>
  <si>
    <t>Limit zobowiazań</t>
  </si>
  <si>
    <t>Wykaz przedsięwzięć do Wieloletniej Prognozy Finansowej miasta Legnicy</t>
  </si>
  <si>
    <t>0,00</t>
  </si>
  <si>
    <t>- zadania sieciowe realizowane przez Lidera projektu</t>
  </si>
  <si>
    <t>Wał rzeki Kaczawy (Kartuska) m. Legnica</t>
  </si>
  <si>
    <t>Program z zakresu bezpieczeństwa i ochrony ludności.</t>
  </si>
  <si>
    <t>Cel: Usprawnienie i skoordynowanie działań w zakresie ratownictwa i sytuacji kryzysowych w mieście.</t>
  </si>
  <si>
    <t>Rewitalizacja Parku Miejskiego w Legnicy</t>
  </si>
  <si>
    <t>Legnica, wieża św. Jadwigi (XIII/XV w.): renowacja wieży</t>
  </si>
  <si>
    <t>Cel: Wyrównywanie szans edukacyjnych poprzez indywidualizację procesu kształcenia i wychowania dzieci w klasach I-III w 12 legnickich szkołach podstawowych</t>
  </si>
  <si>
    <t>Dobry start w szkole</t>
  </si>
  <si>
    <t>Program Operacyjny Kapitał Ludzki 2007 – 2013</t>
  </si>
  <si>
    <t>Cel: Aktywizacja społeczna, zawodowa i edukacyjna 90 osób (49 kobiet i 41 mężczyzn) zagrożonych wykluczeniem społecznym z terenu miasta Legnicy</t>
  </si>
  <si>
    <t>Cel: Ułatwienie przedsiębiorcom na terenie całego kraju dostępu do kompleksowych, wysokiej jakości usług w zakresie internacjonalizacji działalności gospodarczej oraz zwiększenie poziomu inwestycji  poprzez zwiększenie atrakcyjności lokalizacji dla projektów inwestycyjnych</t>
  </si>
  <si>
    <t>Załącznik nr 2</t>
  </si>
  <si>
    <t>Przełożenie ujściowego odcinka rowu K-11 powyżej obwodnicy m. Legnica</t>
  </si>
  <si>
    <t>- przebudowa ulicy Libana</t>
  </si>
  <si>
    <t>-  przebudowa ul. Dąbrówki</t>
  </si>
  <si>
    <t xml:space="preserve">Cel: Aktywizacja społeczna, zawodowa i edukacyjna 60 osób – bezrobotnych, nieaktywnych zawodowo i zatrudnionych, zagrożonych wykluczeniem społecznym mieszkańców obszaru rewitalizowanego H. Pobożnego w Legnicy w okresie od 01.10.2011 r. do 31.10.2012 r.
</t>
  </si>
  <si>
    <t>Siłę mam dzięki wam, ale radzę sobie sam - pilotażowy program rewitalizacji społecznej Obszaru Wsparcia w Legnicy</t>
  </si>
  <si>
    <t>Przebudowa drogi krajowej nr 94 w Legnicy. Etap I - ul. Chojnowska od granic miasta do ul. Jagiellońskiej</t>
  </si>
  <si>
    <t>Budowa zintegrowanego systemu zarządzania ruchem i transportem publicznym w mieście Legnica</t>
  </si>
  <si>
    <t>Budowa ulic Boiskowej i Myśliwskiej wraz z uzbrojeniem i przebudową  ul. Jaworzyńskiej w celu uzbrojenia terenów</t>
  </si>
  <si>
    <t>ulica Wandy, ulica Dąbrówki  i V Dywizji Piechoty</t>
  </si>
  <si>
    <t xml:space="preserve">Przebudowa ulic gruntowych na Osiedlu Piekary Wielkie w powiązaniu z drogą krajową 94 - w tym ulica Ziemowita, </t>
  </si>
  <si>
    <t>Przebudowa ulic: Moniuszki, Rzeczypospolitej, Zamiejskiej, Nowodworskiej (do ul. Jaworzyńskiej) - Trasa nr 5</t>
  </si>
  <si>
    <t>Zespół Szkół Elektryczno- Mechanicznych ul. Skarbka 4 - rewitalizacja elewacji i dachu budynku szkolnego</t>
  </si>
  <si>
    <t>Modernizacja bazy sportowej dla potrzeb dzieci i młodzieży przy Stadionie im. Orła Białego w Legnicy</t>
  </si>
  <si>
    <t>Przebudowa nawierzchni ciągów pieszych z wydzieleniem ścieżek rowerowych w Parku Miejskim</t>
  </si>
  <si>
    <t>Budowa i modernizacja monitoringu wizyjnego zwiększającego bezpieczeństwo turystów w Legnicy</t>
  </si>
  <si>
    <t>ogrodzenie, aleje główne i boczne</t>
  </si>
  <si>
    <t xml:space="preserve">Budowa cmentarza komunalnego - I etap: droga dojazdowa, Krematorium, Dom Pogrzebowy, parkingi, 32 kwatery, </t>
  </si>
  <si>
    <t/>
  </si>
  <si>
    <t>Uzbrojenie terenów inwestycyjnych pod budownictwo mieszkaniowe - sieci i drogi na Osiedlu Piekary Jednostka "B"</t>
  </si>
  <si>
    <t xml:space="preserve">Wniesienie wkładu finansowego do Towarzystwa Budownictwa Społecznego "TBS" Sp. z o.o.w Kamienej Górze </t>
  </si>
  <si>
    <t>z przeznaczeniem na finansowanie adaptacji budynku pokoszarowego "A" w Legnicy w zespole budynków</t>
  </si>
  <si>
    <t xml:space="preserve">Informatyzacja Urzędu Miasta - zakup i wdrożenie systemów wspomagających zarządzanie Miastem </t>
  </si>
  <si>
    <t>(w tym m.in. integracja rozwiązań z zakresu mapy numerycznej z pozostałymi bazami danych  i rejestrami UM)</t>
  </si>
  <si>
    <t xml:space="preserve">oraz rozbudowa infrastruktury teleinformatycznej  w celu upowszechnienia elektronicznego dostępu do UM </t>
  </si>
  <si>
    <t>Sieci Radiowej</t>
  </si>
  <si>
    <t xml:space="preserve">Budowa Miejskiej Szerokopasmowej i Bezpiecznej Sieci Teleinformatycznej LEGMAN w Legnicy - I Etap  Budowa </t>
  </si>
  <si>
    <t>- przebudowa (adaptacja) Willi Bolka von Richthofena wraz z zagospodarowaniem terenu na potrzeby Środowiskowego</t>
  </si>
  <si>
    <t xml:space="preserve"> Centrum Integracyjno - Profilaktycznego</t>
  </si>
  <si>
    <t>- zagospodarowanie oraz utworzenie estetycznych i funkcjonalnych przestrzeni publicznych</t>
  </si>
  <si>
    <t>- przebudowa (adaptacja) pomieszczeń Bramy Głogowskiej dla potrzeb punktu informacji turystycznej</t>
  </si>
  <si>
    <t xml:space="preserve"> w dniu 23.07.2009 roku</t>
  </si>
  <si>
    <t>Odtworzenie zabytkowego Parku Miejskiego w Legnicy zniszczonego w wyniku przejścia huraganu</t>
  </si>
  <si>
    <t>Etap II - przebudowa ul. Szczytnickiej</t>
  </si>
  <si>
    <t>produkcyjno-usługowych</t>
  </si>
  <si>
    <t>przy ul. Złotoryjskiej</t>
  </si>
  <si>
    <t>Cel: utworzenie i funkcjonowanie racjonalnej sieci centrów kształcenia zawodowego o charakterze subregionalnym oraz modernizacja bazy dydaktycznej szkół zawodowych w ramach 7 branż kształcenia zawodowego</t>
  </si>
  <si>
    <t>Modernizacja centrów kształcenia zawodowego na Dolnym Śląsku</t>
  </si>
  <si>
    <t xml:space="preserve">  - 4 -</t>
  </si>
  <si>
    <t>do uchwały Nr XIII/132/11</t>
  </si>
  <si>
    <t>z dnia 27 października 2011 r.</t>
  </si>
  <si>
    <t>zał_ 2_do_XIII_132_11.xls — raport zgodności</t>
  </si>
  <si>
    <t>Uruchom na: 2011-10-28 11:40</t>
  </si>
  <si>
    <t>Następujące funkcje w tym skoroszycie nie są obsługiwane przez wcześniejsze wersje programu Excel. Te funkcje mogą zostać utracone lub ograniczone, jeśli ten skoroszyt zostanie otwarty w starszej wersji programu Excel lub zapisany w starszym formacie pliku.</t>
  </si>
  <si>
    <t>Nieznaczna utrata wierności danych</t>
  </si>
  <si>
    <t>Liczba wystąpień</t>
  </si>
  <si>
    <t>Wersja</t>
  </si>
  <si>
    <t>Niektóre komórki lub style w tym skoroszycie zawierają formatowanie, które nie jest obsługiwane w wybranym formacie pliku. Te formaty zostaną przekonwertowane na najbardziej podobne dostępne formaty.</t>
  </si>
  <si>
    <t>Excel 97–2003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</si>
</sst>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_ ;\-#,##0.00\ "/>
  </numFmts>
  <fonts count="52">
    <font>
      <sz val="10"/>
      <name val="Arial"/>
      <family val="0"/>
    </font>
    <font>
      <sz val="11"/>
      <color indexed="8"/>
      <name val="Czcionka tekstu podstawowego"/>
      <family val="2"/>
    </font>
    <font>
      <sz val="10"/>
      <name val="Arial CE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i/>
      <u val="single"/>
      <sz val="10"/>
      <name val="Times New Roman"/>
      <family val="1"/>
    </font>
    <font>
      <b/>
      <u val="single"/>
      <sz val="10"/>
      <name val="Times New Roman"/>
      <family val="1"/>
    </font>
    <font>
      <b/>
      <sz val="10"/>
      <name val="Arial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55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0" tint="-0.3499799966812134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medium"/>
      <top style="thin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>
        <color indexed="8"/>
      </bottom>
    </border>
    <border>
      <left style="medium"/>
      <right style="medium"/>
      <top style="thin">
        <color indexed="8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2" fillId="0" borderId="0">
      <alignment/>
      <protection/>
    </xf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9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justify"/>
    </xf>
    <xf numFmtId="0" fontId="6" fillId="0" borderId="0" xfId="0" applyFont="1" applyAlignment="1">
      <alignment horizontal="justify" vertic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vertical="center"/>
    </xf>
    <xf numFmtId="4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4" fontId="3" fillId="0" borderId="11" xfId="0" applyNumberFormat="1" applyFont="1" applyFill="1" applyBorder="1" applyAlignment="1">
      <alignment horizontal="right" vertical="center"/>
    </xf>
    <xf numFmtId="4" fontId="3" fillId="34" borderId="11" xfId="0" applyNumberFormat="1" applyFont="1" applyFill="1" applyBorder="1" applyAlignment="1">
      <alignment horizontal="right" vertical="center"/>
    </xf>
    <xf numFmtId="0" fontId="9" fillId="34" borderId="0" xfId="0" applyFont="1" applyFill="1" applyAlignment="1">
      <alignment vertical="center"/>
    </xf>
    <xf numFmtId="0" fontId="8" fillId="34" borderId="12" xfId="0" applyFont="1" applyFill="1" applyBorder="1" applyAlignment="1">
      <alignment vertical="center" wrapText="1"/>
    </xf>
    <xf numFmtId="4" fontId="8" fillId="34" borderId="12" xfId="0" applyNumberFormat="1" applyFont="1" applyFill="1" applyBorder="1" applyAlignment="1">
      <alignment horizontal="right" vertical="center" wrapText="1"/>
    </xf>
    <xf numFmtId="4" fontId="10" fillId="34" borderId="12" xfId="0" applyNumberFormat="1" applyFont="1" applyFill="1" applyBorder="1" applyAlignment="1">
      <alignment horizontal="right" vertical="center" wrapText="1"/>
    </xf>
    <xf numFmtId="4" fontId="9" fillId="34" borderId="12" xfId="0" applyNumberFormat="1" applyFont="1" applyFill="1" applyBorder="1" applyAlignment="1">
      <alignment horizontal="right" vertical="center" wrapText="1"/>
    </xf>
    <xf numFmtId="4" fontId="9" fillId="34" borderId="12" xfId="0" applyNumberFormat="1" applyFont="1" applyFill="1" applyBorder="1" applyAlignment="1">
      <alignment vertical="center" wrapText="1"/>
    </xf>
    <xf numFmtId="0" fontId="8" fillId="34" borderId="0" xfId="0" applyFont="1" applyFill="1" applyAlignment="1">
      <alignment vertical="center"/>
    </xf>
    <xf numFmtId="0" fontId="3" fillId="34" borderId="0" xfId="0" applyFont="1" applyFill="1" applyAlignment="1">
      <alignment vertical="center"/>
    </xf>
    <xf numFmtId="0" fontId="3" fillId="34" borderId="13" xfId="0" applyFont="1" applyFill="1" applyBorder="1" applyAlignment="1">
      <alignment vertical="center" wrapText="1"/>
    </xf>
    <xf numFmtId="0" fontId="3" fillId="34" borderId="13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 wrapText="1"/>
    </xf>
    <xf numFmtId="4" fontId="3" fillId="34" borderId="13" xfId="0" applyNumberFormat="1" applyFont="1" applyFill="1" applyBorder="1" applyAlignment="1">
      <alignment vertical="center" wrapText="1"/>
    </xf>
    <xf numFmtId="0" fontId="3" fillId="34" borderId="0" xfId="0" applyFont="1" applyFill="1" applyAlignment="1">
      <alignment/>
    </xf>
    <xf numFmtId="0" fontId="3" fillId="34" borderId="13" xfId="0" applyFont="1" applyFill="1" applyBorder="1" applyAlignment="1" quotePrefix="1">
      <alignment vertical="center" wrapText="1"/>
    </xf>
    <xf numFmtId="0" fontId="3" fillId="34" borderId="13" xfId="0" applyFont="1" applyFill="1" applyBorder="1" applyAlignment="1">
      <alignment horizontal="left" vertical="center"/>
    </xf>
    <xf numFmtId="0" fontId="3" fillId="34" borderId="12" xfId="0" applyFont="1" applyFill="1" applyBorder="1" applyAlignment="1">
      <alignment horizontal="left" vertical="top"/>
    </xf>
    <xf numFmtId="4" fontId="3" fillId="34" borderId="13" xfId="0" applyNumberFormat="1" applyFont="1" applyFill="1" applyBorder="1" applyAlignment="1">
      <alignment horizontal="right" vertical="center" wrapText="1"/>
    </xf>
    <xf numFmtId="0" fontId="6" fillId="34" borderId="13" xfId="0" applyFont="1" applyFill="1" applyBorder="1" applyAlignment="1">
      <alignment horizontal="left" vertical="center" wrapText="1"/>
    </xf>
    <xf numFmtId="4" fontId="3" fillId="34" borderId="12" xfId="0" applyNumberFormat="1" applyFont="1" applyFill="1" applyBorder="1" applyAlignment="1">
      <alignment horizontal="right" vertical="center" wrapText="1"/>
    </xf>
    <xf numFmtId="4" fontId="3" fillId="34" borderId="11" xfId="0" applyNumberFormat="1" applyFont="1" applyFill="1" applyBorder="1" applyAlignment="1">
      <alignment horizontal="right" vertical="center" wrapText="1"/>
    </xf>
    <xf numFmtId="4" fontId="11" fillId="34" borderId="12" xfId="0" applyNumberFormat="1" applyFont="1" applyFill="1" applyBorder="1" applyAlignment="1">
      <alignment horizontal="right" vertical="center" wrapText="1"/>
    </xf>
    <xf numFmtId="4" fontId="6" fillId="34" borderId="12" xfId="0" applyNumberFormat="1" applyFont="1" applyFill="1" applyBorder="1" applyAlignment="1">
      <alignment horizontal="right" vertical="center" wrapText="1"/>
    </xf>
    <xf numFmtId="4" fontId="6" fillId="34" borderId="12" xfId="0" applyNumberFormat="1" applyFont="1" applyFill="1" applyBorder="1" applyAlignment="1">
      <alignment vertical="center" wrapText="1"/>
    </xf>
    <xf numFmtId="0" fontId="3" fillId="34" borderId="13" xfId="0" applyFont="1" applyFill="1" applyBorder="1" applyAlignment="1" quotePrefix="1">
      <alignment horizontal="left" vertical="center" wrapText="1"/>
    </xf>
    <xf numFmtId="0" fontId="3" fillId="34" borderId="13" xfId="0" applyFont="1" applyFill="1" applyBorder="1" applyAlignment="1" quotePrefix="1">
      <alignment horizontal="left" vertical="center"/>
    </xf>
    <xf numFmtId="0" fontId="3" fillId="34" borderId="12" xfId="0" applyFont="1" applyFill="1" applyBorder="1" applyAlignment="1">
      <alignment horizontal="right" vertical="center" wrapText="1"/>
    </xf>
    <xf numFmtId="0" fontId="3" fillId="34" borderId="12" xfId="0" applyFont="1" applyFill="1" applyBorder="1" applyAlignment="1">
      <alignment horizontal="center" vertical="center"/>
    </xf>
    <xf numFmtId="4" fontId="3" fillId="34" borderId="12" xfId="0" applyNumberFormat="1" applyFont="1" applyFill="1" applyBorder="1" applyAlignment="1">
      <alignment vertical="center" wrapText="1"/>
    </xf>
    <xf numFmtId="0" fontId="3" fillId="34" borderId="11" xfId="0" applyFont="1" applyFill="1" applyBorder="1" applyAlignment="1">
      <alignment vertical="center" wrapText="1"/>
    </xf>
    <xf numFmtId="0" fontId="3" fillId="34" borderId="11" xfId="0" applyFont="1" applyFill="1" applyBorder="1" applyAlignment="1">
      <alignment horizontal="center" vertical="center" wrapText="1"/>
    </xf>
    <xf numFmtId="4" fontId="3" fillId="34" borderId="11" xfId="0" applyNumberFormat="1" applyFont="1" applyFill="1" applyBorder="1" applyAlignment="1">
      <alignment vertical="center" wrapText="1"/>
    </xf>
    <xf numFmtId="0" fontId="3" fillId="34" borderId="11" xfId="0" applyFont="1" applyFill="1" applyBorder="1" applyAlignment="1">
      <alignment horizontal="center" vertical="center"/>
    </xf>
    <xf numFmtId="0" fontId="3" fillId="34" borderId="13" xfId="0" applyFont="1" applyFill="1" applyBorder="1" applyAlignment="1" quotePrefix="1">
      <alignment vertical="center"/>
    </xf>
    <xf numFmtId="0" fontId="3" fillId="34" borderId="13" xfId="0" applyFont="1" applyFill="1" applyBorder="1" applyAlignment="1">
      <alignment vertical="center"/>
    </xf>
    <xf numFmtId="49" fontId="3" fillId="35" borderId="14" xfId="0" applyNumberFormat="1" applyFont="1" applyFill="1" applyBorder="1" applyAlignment="1" applyProtection="1">
      <alignment horizontal="right" vertical="center" wrapText="1"/>
      <protection locked="0"/>
    </xf>
    <xf numFmtId="49" fontId="3" fillId="36" borderId="12" xfId="0" applyNumberFormat="1" applyFont="1" applyFill="1" applyBorder="1" applyAlignment="1" applyProtection="1">
      <alignment horizontal="left" vertical="center" wrapText="1"/>
      <protection locked="0"/>
    </xf>
    <xf numFmtId="0" fontId="3" fillId="34" borderId="15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3" fillId="34" borderId="12" xfId="0" applyFont="1" applyFill="1" applyBorder="1" applyAlignment="1" quotePrefix="1">
      <alignment vertical="center" wrapText="1"/>
    </xf>
    <xf numFmtId="0" fontId="3" fillId="34" borderId="12" xfId="0" applyFont="1" applyFill="1" applyBorder="1" applyAlignment="1">
      <alignment horizontal="center" vertical="center" wrapText="1"/>
    </xf>
    <xf numFmtId="4" fontId="3" fillId="34" borderId="11" xfId="0" applyNumberFormat="1" applyFont="1" applyFill="1" applyBorder="1" applyAlignment="1">
      <alignment vertical="center"/>
    </xf>
    <xf numFmtId="0" fontId="3" fillId="34" borderId="12" xfId="0" applyFont="1" applyFill="1" applyBorder="1" applyAlignment="1">
      <alignment vertical="center"/>
    </xf>
    <xf numFmtId="0" fontId="3" fillId="34" borderId="12" xfId="0" applyFont="1" applyFill="1" applyBorder="1" applyAlignment="1">
      <alignment vertical="center" wrapText="1"/>
    </xf>
    <xf numFmtId="4" fontId="3" fillId="34" borderId="17" xfId="0" applyNumberFormat="1" applyFont="1" applyFill="1" applyBorder="1" applyAlignment="1">
      <alignment vertical="center" wrapText="1"/>
    </xf>
    <xf numFmtId="4" fontId="3" fillId="34" borderId="18" xfId="0" applyNumberFormat="1" applyFont="1" applyFill="1" applyBorder="1" applyAlignment="1">
      <alignment horizontal="right" vertical="center" wrapText="1"/>
    </xf>
    <xf numFmtId="0" fontId="3" fillId="34" borderId="12" xfId="0" applyFont="1" applyFill="1" applyBorder="1" applyAlignment="1" quotePrefix="1">
      <alignment horizontal="left" vertical="center" wrapText="1"/>
    </xf>
    <xf numFmtId="0" fontId="3" fillId="34" borderId="11" xfId="52" applyFont="1" applyFill="1" applyBorder="1" applyAlignment="1">
      <alignment/>
      <protection/>
    </xf>
    <xf numFmtId="4" fontId="3" fillId="34" borderId="13" xfId="0" applyNumberFormat="1" applyFont="1" applyFill="1" applyBorder="1" applyAlignment="1">
      <alignment horizontal="right" vertical="center"/>
    </xf>
    <xf numFmtId="0" fontId="3" fillId="34" borderId="13" xfId="52" applyFont="1" applyFill="1" applyBorder="1" applyAlignment="1">
      <alignment vertical="top"/>
      <protection/>
    </xf>
    <xf numFmtId="4" fontId="3" fillId="34" borderId="13" xfId="0" applyNumberFormat="1" applyFont="1" applyFill="1" applyBorder="1" applyAlignment="1">
      <alignment vertical="center"/>
    </xf>
    <xf numFmtId="0" fontId="3" fillId="34" borderId="19" xfId="0" applyFont="1" applyFill="1" applyBorder="1" applyAlignment="1">
      <alignment vertical="center" wrapText="1"/>
    </xf>
    <xf numFmtId="4" fontId="3" fillId="34" borderId="12" xfId="0" applyNumberFormat="1" applyFont="1" applyFill="1" applyBorder="1" applyAlignment="1">
      <alignment horizontal="right" vertical="center"/>
    </xf>
    <xf numFmtId="4" fontId="3" fillId="34" borderId="12" xfId="0" applyNumberFormat="1" applyFont="1" applyFill="1" applyBorder="1" applyAlignment="1">
      <alignment vertical="center"/>
    </xf>
    <xf numFmtId="0" fontId="3" fillId="34" borderId="18" xfId="0" applyFont="1" applyFill="1" applyBorder="1" applyAlignment="1">
      <alignment vertical="center" wrapText="1"/>
    </xf>
    <xf numFmtId="0" fontId="3" fillId="34" borderId="18" xfId="0" applyFont="1" applyFill="1" applyBorder="1" applyAlignment="1">
      <alignment horizontal="center" vertical="center" wrapText="1"/>
    </xf>
    <xf numFmtId="4" fontId="3" fillId="34" borderId="18" xfId="0" applyNumberFormat="1" applyFont="1" applyFill="1" applyBorder="1" applyAlignment="1">
      <alignment vertical="center" wrapText="1"/>
    </xf>
    <xf numFmtId="0" fontId="6" fillId="34" borderId="0" xfId="0" applyFont="1" applyFill="1" applyAlignment="1">
      <alignment vertical="center"/>
    </xf>
    <xf numFmtId="4" fontId="3" fillId="34" borderId="19" xfId="0" applyNumberFormat="1" applyFont="1" applyFill="1" applyBorder="1" applyAlignment="1">
      <alignment vertical="center" wrapText="1"/>
    </xf>
    <xf numFmtId="49" fontId="6" fillId="35" borderId="14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Font="1" applyBorder="1" applyAlignment="1" quotePrefix="1">
      <alignment horizontal="left" vertical="center" wrapText="1"/>
    </xf>
    <xf numFmtId="4" fontId="6" fillId="0" borderId="0" xfId="0" applyNumberFormat="1" applyFont="1" applyBorder="1" applyAlignment="1">
      <alignment vertical="center" wrapText="1"/>
    </xf>
    <xf numFmtId="4" fontId="6" fillId="0" borderId="0" xfId="0" applyNumberFormat="1" applyFont="1" applyBorder="1" applyAlignment="1" quotePrefix="1">
      <alignment horizontal="right" vertical="center" wrapText="1"/>
    </xf>
    <xf numFmtId="4" fontId="6" fillId="0" borderId="0" xfId="0" applyNumberFormat="1" applyFont="1" applyBorder="1" applyAlignment="1" quotePrefix="1">
      <alignment horizontal="center" vertical="center" wrapText="1"/>
    </xf>
    <xf numFmtId="0" fontId="6" fillId="0" borderId="0" xfId="0" applyFont="1" applyAlignment="1">
      <alignment/>
    </xf>
    <xf numFmtId="0" fontId="3" fillId="37" borderId="20" xfId="0" applyFont="1" applyFill="1" applyBorder="1" applyAlignment="1">
      <alignment horizontal="left" vertical="center" wrapText="1"/>
    </xf>
    <xf numFmtId="0" fontId="3" fillId="37" borderId="20" xfId="0" applyFont="1" applyFill="1" applyBorder="1" applyAlignment="1">
      <alignment horizontal="left" vertical="center"/>
    </xf>
    <xf numFmtId="4" fontId="11" fillId="37" borderId="20" xfId="0" applyNumberFormat="1" applyFont="1" applyFill="1" applyBorder="1" applyAlignment="1">
      <alignment horizontal="right" vertical="center" wrapText="1"/>
    </xf>
    <xf numFmtId="4" fontId="6" fillId="37" borderId="20" xfId="0" applyNumberFormat="1" applyFont="1" applyFill="1" applyBorder="1" applyAlignment="1">
      <alignment horizontal="right" vertical="center" wrapText="1"/>
    </xf>
    <xf numFmtId="4" fontId="6" fillId="37" borderId="20" xfId="0" applyNumberFormat="1" applyFont="1" applyFill="1" applyBorder="1" applyAlignment="1">
      <alignment vertical="center" wrapText="1"/>
    </xf>
    <xf numFmtId="0" fontId="3" fillId="37" borderId="0" xfId="0" applyFont="1" applyFill="1" applyBorder="1" applyAlignment="1">
      <alignment horizontal="left" vertical="center" wrapText="1"/>
    </xf>
    <xf numFmtId="0" fontId="3" fillId="37" borderId="0" xfId="0" applyFont="1" applyFill="1" applyBorder="1" applyAlignment="1">
      <alignment horizontal="left" vertical="center"/>
    </xf>
    <xf numFmtId="4" fontId="11" fillId="37" borderId="0" xfId="0" applyNumberFormat="1" applyFont="1" applyFill="1" applyBorder="1" applyAlignment="1">
      <alignment horizontal="right" vertical="center" wrapText="1"/>
    </xf>
    <xf numFmtId="4" fontId="6" fillId="37" borderId="0" xfId="0" applyNumberFormat="1" applyFont="1" applyFill="1" applyBorder="1" applyAlignment="1">
      <alignment horizontal="right" vertical="center" wrapText="1"/>
    </xf>
    <xf numFmtId="4" fontId="6" fillId="37" borderId="0" xfId="0" applyNumberFormat="1" applyFont="1" applyFill="1" applyBorder="1" applyAlignment="1">
      <alignment vertical="center" wrapText="1"/>
    </xf>
    <xf numFmtId="49" fontId="6" fillId="35" borderId="21" xfId="0" applyNumberFormat="1" applyFont="1" applyFill="1" applyBorder="1" applyAlignment="1" applyProtection="1">
      <alignment horizontal="right" vertical="center" wrapText="1"/>
      <protection locked="0"/>
    </xf>
    <xf numFmtId="49" fontId="3" fillId="35" borderId="21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21" xfId="0" applyNumberFormat="1" applyFont="1" applyFill="1" applyBorder="1" applyAlignment="1">
      <alignment horizontal="right" vertical="center"/>
    </xf>
    <xf numFmtId="4" fontId="3" fillId="0" borderId="13" xfId="0" applyNumberFormat="1" applyFont="1" applyFill="1" applyBorder="1" applyAlignment="1">
      <alignment horizontal="right" vertical="center"/>
    </xf>
    <xf numFmtId="49" fontId="3" fillId="36" borderId="18" xfId="0" applyNumberFormat="1" applyFont="1" applyFill="1" applyBorder="1" applyAlignment="1" applyProtection="1">
      <alignment horizontal="left" vertical="center"/>
      <protection locked="0"/>
    </xf>
    <xf numFmtId="0" fontId="3" fillId="34" borderId="18" xfId="0" applyFont="1" applyFill="1" applyBorder="1" applyAlignment="1">
      <alignment horizontal="center" vertical="center"/>
    </xf>
    <xf numFmtId="49" fontId="3" fillId="36" borderId="18" xfId="0" applyNumberFormat="1" applyFont="1" applyFill="1" applyBorder="1" applyAlignment="1" applyProtection="1">
      <alignment horizontal="center" vertical="center" wrapText="1"/>
      <protection locked="0"/>
    </xf>
    <xf numFmtId="4" fontId="3" fillId="36" borderId="18" xfId="0" applyNumberFormat="1" applyFont="1" applyFill="1" applyBorder="1" applyAlignment="1" applyProtection="1">
      <alignment horizontal="right" vertical="center" wrapText="1"/>
      <protection locked="0"/>
    </xf>
    <xf numFmtId="49" fontId="3" fillId="36" borderId="18" xfId="0" applyNumberFormat="1" applyFont="1" applyFill="1" applyBorder="1" applyAlignment="1" applyProtection="1">
      <alignment horizontal="right" vertical="center" wrapText="1"/>
      <protection locked="0"/>
    </xf>
    <xf numFmtId="49" fontId="3" fillId="36" borderId="13" xfId="0" applyNumberFormat="1" applyFont="1" applyFill="1" applyBorder="1" applyAlignment="1" applyProtection="1">
      <alignment horizontal="left" vertical="center" wrapText="1"/>
      <protection locked="0"/>
    </xf>
    <xf numFmtId="49" fontId="3" fillId="36" borderId="19" xfId="0" applyNumberFormat="1" applyFont="1" applyFill="1" applyBorder="1" applyAlignment="1" applyProtection="1">
      <alignment horizontal="left" vertical="center" wrapText="1"/>
      <protection locked="0"/>
    </xf>
    <xf numFmtId="0" fontId="3" fillId="34" borderId="19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/>
    </xf>
    <xf numFmtId="49" fontId="6" fillId="35" borderId="22" xfId="0" applyNumberFormat="1" applyFont="1" applyFill="1" applyBorder="1" applyAlignment="1" applyProtection="1">
      <alignment horizontal="right" vertical="top" wrapText="1"/>
      <protection locked="0"/>
    </xf>
    <xf numFmtId="49" fontId="3" fillId="35" borderId="22" xfId="0" applyNumberFormat="1" applyFont="1" applyFill="1" applyBorder="1" applyAlignment="1" applyProtection="1">
      <alignment horizontal="right" vertical="center" wrapText="1"/>
      <protection locked="0"/>
    </xf>
    <xf numFmtId="0" fontId="3" fillId="34" borderId="12" xfId="0" applyFont="1" applyFill="1" applyBorder="1" applyAlignment="1">
      <alignment horizontal="left" vertical="center" wrapText="1"/>
    </xf>
    <xf numFmtId="0" fontId="3" fillId="34" borderId="13" xfId="0" applyFont="1" applyFill="1" applyBorder="1" applyAlignment="1">
      <alignment horizontal="left" vertical="center" wrapText="1"/>
    </xf>
    <xf numFmtId="0" fontId="3" fillId="34" borderId="11" xfId="0" applyFont="1" applyFill="1" applyBorder="1" applyAlignment="1">
      <alignment horizontal="left" vertical="center"/>
    </xf>
    <xf numFmtId="0" fontId="3" fillId="34" borderId="12" xfId="0" applyFont="1" applyFill="1" applyBorder="1" applyAlignment="1">
      <alignment horizontal="left" vertical="center"/>
    </xf>
    <xf numFmtId="0" fontId="3" fillId="34" borderId="23" xfId="0" applyFont="1" applyFill="1" applyBorder="1" applyAlignment="1">
      <alignment horizontal="left" vertical="center" wrapText="1"/>
    </xf>
    <xf numFmtId="0" fontId="3" fillId="34" borderId="24" xfId="0" applyFont="1" applyFill="1" applyBorder="1" applyAlignment="1">
      <alignment horizontal="left" vertical="center" wrapText="1"/>
    </xf>
    <xf numFmtId="0" fontId="3" fillId="34" borderId="25" xfId="0" applyFont="1" applyFill="1" applyBorder="1" applyAlignment="1">
      <alignment horizontal="left" vertical="center" wrapText="1"/>
    </xf>
    <xf numFmtId="0" fontId="3" fillId="34" borderId="11" xfId="0" applyFont="1" applyFill="1" applyBorder="1" applyAlignment="1">
      <alignment horizontal="left" vertical="center" wrapText="1"/>
    </xf>
    <xf numFmtId="0" fontId="3" fillId="34" borderId="26" xfId="0" applyFont="1" applyFill="1" applyBorder="1" applyAlignment="1">
      <alignment horizontal="left" vertical="top"/>
    </xf>
    <xf numFmtId="0" fontId="3" fillId="34" borderId="20" xfId="0" applyFont="1" applyFill="1" applyBorder="1" applyAlignment="1">
      <alignment horizontal="left" vertical="top"/>
    </xf>
    <xf numFmtId="0" fontId="3" fillId="34" borderId="27" xfId="0" applyFont="1" applyFill="1" applyBorder="1" applyAlignment="1">
      <alignment horizontal="left" vertical="top"/>
    </xf>
    <xf numFmtId="0" fontId="12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NumberFormat="1" applyBorder="1" applyAlignment="1">
      <alignment vertical="top" wrapText="1"/>
    </xf>
    <xf numFmtId="0" fontId="12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9" xfId="0" applyNumberFormat="1" applyBorder="1" applyAlignment="1">
      <alignment horizontal="center" vertical="top" wrapText="1"/>
    </xf>
    <xf numFmtId="0" fontId="0" fillId="0" borderId="30" xfId="0" applyNumberFormat="1" applyBorder="1" applyAlignment="1">
      <alignment horizontal="center" vertical="top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31" xfId="0" applyFont="1" applyFill="1" applyBorder="1" applyAlignment="1">
      <alignment horizontal="center" vertical="center" wrapText="1"/>
    </xf>
    <xf numFmtId="0" fontId="6" fillId="37" borderId="32" xfId="0" applyFont="1" applyFill="1" applyBorder="1" applyAlignment="1" quotePrefix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49" fontId="6" fillId="35" borderId="21" xfId="0" applyNumberFormat="1" applyFont="1" applyFill="1" applyBorder="1" applyAlignment="1" applyProtection="1">
      <alignment horizontal="left" vertical="center" wrapText="1"/>
      <protection locked="0"/>
    </xf>
    <xf numFmtId="0" fontId="3" fillId="34" borderId="11" xfId="0" applyFont="1" applyFill="1" applyBorder="1" applyAlignment="1">
      <alignment horizontal="left"/>
    </xf>
    <xf numFmtId="0" fontId="3" fillId="34" borderId="23" xfId="0" applyFont="1" applyFill="1" applyBorder="1" applyAlignment="1">
      <alignment horizontal="left" vertical="top" wrapText="1"/>
    </xf>
    <xf numFmtId="0" fontId="3" fillId="34" borderId="24" xfId="0" applyFont="1" applyFill="1" applyBorder="1" applyAlignment="1">
      <alignment horizontal="left" vertical="top" wrapText="1"/>
    </xf>
    <xf numFmtId="0" fontId="3" fillId="34" borderId="25" xfId="0" applyFont="1" applyFill="1" applyBorder="1" applyAlignment="1">
      <alignment horizontal="left" vertical="top" wrapText="1"/>
    </xf>
    <xf numFmtId="0" fontId="3" fillId="34" borderId="12" xfId="0" applyFont="1" applyFill="1" applyBorder="1" applyAlignment="1">
      <alignment horizontal="left" vertical="center" wrapText="1"/>
    </xf>
    <xf numFmtId="0" fontId="3" fillId="34" borderId="12" xfId="0" applyFont="1" applyFill="1" applyBorder="1" applyAlignment="1">
      <alignment horizontal="left" vertical="center"/>
    </xf>
    <xf numFmtId="49" fontId="3" fillId="35" borderId="21" xfId="0" applyNumberFormat="1" applyFont="1" applyFill="1" applyBorder="1" applyAlignment="1" applyProtection="1">
      <alignment horizontal="left" vertical="center" wrapText="1"/>
      <protection locked="0"/>
    </xf>
    <xf numFmtId="49" fontId="3" fillId="35" borderId="13" xfId="0" applyNumberFormat="1" applyFont="1" applyFill="1" applyBorder="1" applyAlignment="1" applyProtection="1">
      <alignment horizontal="left" vertical="center" wrapText="1"/>
      <protection locked="0"/>
    </xf>
    <xf numFmtId="0" fontId="3" fillId="34" borderId="11" xfId="0" applyFont="1" applyFill="1" applyBorder="1" applyAlignment="1">
      <alignment horizontal="left" vertical="center"/>
    </xf>
    <xf numFmtId="0" fontId="3" fillId="34" borderId="13" xfId="0" applyFont="1" applyFill="1" applyBorder="1" applyAlignment="1">
      <alignment horizontal="left" vertical="center" wrapText="1"/>
    </xf>
    <xf numFmtId="0" fontId="3" fillId="34" borderId="23" xfId="0" applyFont="1" applyFill="1" applyBorder="1" applyAlignment="1">
      <alignment horizontal="left" vertical="center" wrapText="1"/>
    </xf>
    <xf numFmtId="0" fontId="3" fillId="34" borderId="24" xfId="0" applyFont="1" applyFill="1" applyBorder="1" applyAlignment="1">
      <alignment horizontal="left" vertical="center" wrapText="1"/>
    </xf>
    <xf numFmtId="0" fontId="3" fillId="34" borderId="25" xfId="0" applyFont="1" applyFill="1" applyBorder="1" applyAlignment="1">
      <alignment horizontal="left" vertical="center" wrapText="1"/>
    </xf>
    <xf numFmtId="0" fontId="3" fillId="34" borderId="33" xfId="0" applyFont="1" applyFill="1" applyBorder="1" applyAlignment="1">
      <alignment horizontal="left" vertical="center" wrapText="1"/>
    </xf>
    <xf numFmtId="0" fontId="6" fillId="33" borderId="34" xfId="0" applyFont="1" applyFill="1" applyBorder="1" applyAlignment="1">
      <alignment horizontal="center" vertical="center" wrapText="1"/>
    </xf>
    <xf numFmtId="0" fontId="6" fillId="33" borderId="35" xfId="0" applyFont="1" applyFill="1" applyBorder="1" applyAlignment="1">
      <alignment horizontal="center" vertical="center" wrapText="1"/>
    </xf>
    <xf numFmtId="0" fontId="6" fillId="33" borderId="36" xfId="0" applyFont="1" applyFill="1" applyBorder="1" applyAlignment="1">
      <alignment horizontal="center" vertical="center" wrapText="1"/>
    </xf>
    <xf numFmtId="0" fontId="6" fillId="33" borderId="37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left" vertical="center" wrapText="1"/>
    </xf>
    <xf numFmtId="0" fontId="3" fillId="34" borderId="26" xfId="0" applyFont="1" applyFill="1" applyBorder="1" applyAlignment="1">
      <alignment horizontal="left" vertical="top"/>
    </xf>
    <xf numFmtId="0" fontId="3" fillId="34" borderId="20" xfId="0" applyFont="1" applyFill="1" applyBorder="1" applyAlignment="1">
      <alignment horizontal="left" vertical="top"/>
    </xf>
    <xf numFmtId="0" fontId="3" fillId="34" borderId="27" xfId="0" applyFont="1" applyFill="1" applyBorder="1" applyAlignment="1">
      <alignment horizontal="left" vertical="top"/>
    </xf>
    <xf numFmtId="49" fontId="3" fillId="35" borderId="38" xfId="0" applyNumberFormat="1" applyFont="1" applyFill="1" applyBorder="1" applyAlignment="1" applyProtection="1">
      <alignment horizontal="left" vertical="center" wrapText="1"/>
      <protection locked="0"/>
    </xf>
    <xf numFmtId="49" fontId="3" fillId="35" borderId="39" xfId="0" applyNumberFormat="1" applyFont="1" applyFill="1" applyBorder="1" applyAlignment="1" applyProtection="1">
      <alignment horizontal="left" vertical="center" wrapText="1"/>
      <protection locked="0"/>
    </xf>
    <xf numFmtId="49" fontId="3" fillId="35" borderId="40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4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wrapText="1"/>
    </xf>
    <xf numFmtId="49" fontId="3" fillId="35" borderId="42" xfId="0" applyNumberFormat="1" applyFont="1" applyFill="1" applyBorder="1" applyAlignment="1" applyProtection="1">
      <alignment horizontal="left" vertical="center" wrapText="1"/>
      <protection locked="0"/>
    </xf>
    <xf numFmtId="49" fontId="3" fillId="35" borderId="43" xfId="0" applyNumberFormat="1" applyFont="1" applyFill="1" applyBorder="1" applyAlignment="1" applyProtection="1">
      <alignment horizontal="left" vertical="center" wrapText="1"/>
      <protection locked="0"/>
    </xf>
    <xf numFmtId="49" fontId="3" fillId="35" borderId="44" xfId="0" applyNumberFormat="1" applyFont="1" applyFill="1" applyBorder="1" applyAlignment="1" applyProtection="1">
      <alignment horizontal="left" vertical="center" wrapText="1"/>
      <protection locked="0"/>
    </xf>
    <xf numFmtId="49" fontId="3" fillId="35" borderId="45" xfId="0" applyNumberFormat="1" applyFont="1" applyFill="1" applyBorder="1" applyAlignment="1" applyProtection="1">
      <alignment horizontal="left" vertical="center" wrapText="1"/>
      <protection locked="0"/>
    </xf>
    <xf numFmtId="49" fontId="3" fillId="35" borderId="46" xfId="0" applyNumberFormat="1" applyFont="1" applyFill="1" applyBorder="1" applyAlignment="1" applyProtection="1">
      <alignment horizontal="left" vertical="center" wrapText="1"/>
      <protection locked="0"/>
    </xf>
    <xf numFmtId="49" fontId="3" fillId="35" borderId="47" xfId="0" applyNumberFormat="1" applyFont="1" applyFill="1" applyBorder="1" applyAlignment="1" applyProtection="1">
      <alignment horizontal="left" vertical="center" wrapText="1"/>
      <protection locked="0"/>
    </xf>
    <xf numFmtId="49" fontId="3" fillId="35" borderId="48" xfId="0" applyNumberFormat="1" applyFont="1" applyFill="1" applyBorder="1" applyAlignment="1" applyProtection="1">
      <alignment horizontal="left" vertical="center" wrapText="1"/>
      <protection locked="0"/>
    </xf>
    <xf numFmtId="49" fontId="3" fillId="35" borderId="49" xfId="0" applyNumberFormat="1" applyFont="1" applyFill="1" applyBorder="1" applyAlignment="1" applyProtection="1">
      <alignment horizontal="left" vertical="center" wrapText="1"/>
      <protection locked="0"/>
    </xf>
    <xf numFmtId="49" fontId="3" fillId="35" borderId="50" xfId="0" applyNumberFormat="1" applyFont="1" applyFill="1" applyBorder="1" applyAlignment="1" applyProtection="1">
      <alignment horizontal="left" vertical="center" wrapText="1"/>
      <protection locked="0"/>
    </xf>
    <xf numFmtId="0" fontId="3" fillId="34" borderId="38" xfId="0" applyFont="1" applyFill="1" applyBorder="1" applyAlignment="1">
      <alignment horizontal="left" vertical="center" wrapText="1"/>
    </xf>
    <xf numFmtId="0" fontId="3" fillId="34" borderId="39" xfId="0" applyFont="1" applyFill="1" applyBorder="1" applyAlignment="1">
      <alignment horizontal="left" vertical="center" wrapText="1"/>
    </xf>
    <xf numFmtId="0" fontId="3" fillId="34" borderId="40" xfId="0" applyFont="1" applyFill="1" applyBorder="1" applyAlignment="1">
      <alignment horizontal="left" vertical="center" wrapText="1"/>
    </xf>
    <xf numFmtId="0" fontId="3" fillId="34" borderId="17" xfId="0" applyFont="1" applyFill="1" applyBorder="1" applyAlignment="1">
      <alignment horizontal="left" vertical="center"/>
    </xf>
    <xf numFmtId="49" fontId="3" fillId="35" borderId="51" xfId="0" applyNumberFormat="1" applyFont="1" applyFill="1" applyBorder="1" applyAlignment="1" applyProtection="1">
      <alignment horizontal="left" vertical="center" wrapText="1"/>
      <protection locked="0"/>
    </xf>
    <xf numFmtId="4" fontId="3" fillId="0" borderId="51" xfId="0" applyNumberFormat="1" applyFont="1" applyFill="1" applyBorder="1" applyAlignment="1">
      <alignment horizontal="right" vertical="center"/>
    </xf>
    <xf numFmtId="49" fontId="3" fillId="35" borderId="33" xfId="0" applyNumberFormat="1" applyFont="1" applyFill="1" applyBorder="1" applyAlignment="1" applyProtection="1">
      <alignment horizontal="left" vertical="center" wrapText="1"/>
      <protection locked="0"/>
    </xf>
    <xf numFmtId="4" fontId="3" fillId="0" borderId="33" xfId="0" applyNumberFormat="1" applyFont="1" applyFill="1" applyBorder="1" applyAlignment="1">
      <alignment horizontal="right" vertical="center"/>
    </xf>
    <xf numFmtId="49" fontId="3" fillId="35" borderId="52" xfId="0" applyNumberFormat="1" applyFont="1" applyFill="1" applyBorder="1" applyAlignment="1" applyProtection="1">
      <alignment horizontal="left" vertical="center" wrapText="1"/>
      <protection locked="0"/>
    </xf>
    <xf numFmtId="4" fontId="6" fillId="0" borderId="33" xfId="0" applyNumberFormat="1" applyFont="1" applyFill="1" applyBorder="1" applyAlignment="1">
      <alignment horizontal="right" vertical="center"/>
    </xf>
    <xf numFmtId="49" fontId="6" fillId="35" borderId="53" xfId="0" applyNumberFormat="1" applyFont="1" applyFill="1" applyBorder="1" applyAlignment="1" applyProtection="1">
      <alignment horizontal="left" vertical="center" wrapText="1"/>
      <protection locked="0"/>
    </xf>
    <xf numFmtId="0" fontId="8" fillId="0" borderId="0" xfId="0" applyFont="1" applyAlignment="1">
      <alignment vertical="center"/>
    </xf>
    <xf numFmtId="49" fontId="3" fillId="35" borderId="18" xfId="0" applyNumberFormat="1" applyFont="1" applyFill="1" applyBorder="1" applyAlignment="1" applyProtection="1">
      <alignment horizontal="left" vertical="center" wrapText="1"/>
      <protection locked="0"/>
    </xf>
    <xf numFmtId="4" fontId="3" fillId="34" borderId="41" xfId="0" applyNumberFormat="1" applyFont="1" applyFill="1" applyBorder="1" applyAlignment="1">
      <alignment horizontal="right" vertical="center" wrapText="1"/>
    </xf>
    <xf numFmtId="4" fontId="3" fillId="34" borderId="0" xfId="0" applyNumberFormat="1" applyFont="1" applyFill="1" applyBorder="1" applyAlignment="1">
      <alignment horizontal="right" vertical="center" wrapText="1"/>
    </xf>
    <xf numFmtId="0" fontId="3" fillId="34" borderId="12" xfId="0" applyFont="1" applyFill="1" applyBorder="1" applyAlignment="1">
      <alignment horizontal="left" vertical="top" wrapText="1"/>
    </xf>
    <xf numFmtId="0" fontId="3" fillId="34" borderId="41" xfId="0" applyFont="1" applyFill="1" applyBorder="1" applyAlignment="1">
      <alignment vertical="center" wrapText="1"/>
    </xf>
    <xf numFmtId="0" fontId="3" fillId="34" borderId="0" xfId="0" applyFont="1" applyFill="1" applyBorder="1" applyAlignment="1">
      <alignment vertical="center" wrapText="1"/>
    </xf>
    <xf numFmtId="0" fontId="6" fillId="34" borderId="12" xfId="0" applyFont="1" applyFill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4" fontId="3" fillId="0" borderId="18" xfId="0" applyNumberFormat="1" applyFont="1" applyFill="1" applyBorder="1" applyAlignment="1">
      <alignment horizontal="right" vertical="center"/>
    </xf>
    <xf numFmtId="0" fontId="3" fillId="34" borderId="18" xfId="0" applyFont="1" applyFill="1" applyBorder="1" applyAlignment="1">
      <alignment horizontal="left" vertical="center"/>
    </xf>
    <xf numFmtId="4" fontId="3" fillId="34" borderId="18" xfId="0" applyNumberFormat="1" applyFont="1" applyFill="1" applyBorder="1" applyAlignment="1">
      <alignment horizontal="right" vertical="center"/>
    </xf>
    <xf numFmtId="0" fontId="3" fillId="34" borderId="19" xfId="0" applyFont="1" applyFill="1" applyBorder="1" applyAlignment="1">
      <alignment horizontal="left" vertical="center" wrapText="1"/>
    </xf>
    <xf numFmtId="0" fontId="3" fillId="34" borderId="19" xfId="0" applyFont="1" applyFill="1" applyBorder="1" applyAlignment="1">
      <alignment vertical="center"/>
    </xf>
    <xf numFmtId="0" fontId="3" fillId="34" borderId="13" xfId="0" applyFont="1" applyFill="1" applyBorder="1" applyAlignment="1">
      <alignment horizontal="right" vertical="center" wrapText="1"/>
    </xf>
    <xf numFmtId="4" fontId="51" fillId="0" borderId="0" xfId="0" applyNumberFormat="1" applyFont="1" applyAlignment="1">
      <alignment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WPI poprawiane2008-2010 do 17.07 oddane skabonce 29.08.08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8"/>
  <sheetViews>
    <sheetView tabSelected="1" view="pageBreakPreview" zoomScaleNormal="70" zoomScaleSheetLayoutView="100" workbookViewId="0" topLeftCell="D1">
      <selection activeCell="O27" sqref="O27"/>
    </sheetView>
  </sheetViews>
  <sheetFormatPr defaultColWidth="9.140625" defaultRowHeight="12.75"/>
  <cols>
    <col min="1" max="1" width="95.140625" style="1" customWidth="1"/>
    <col min="2" max="2" width="15.00390625" style="2" customWidth="1"/>
    <col min="3" max="3" width="18.00390625" style="2" customWidth="1"/>
    <col min="4" max="4" width="16.7109375" style="2" customWidth="1"/>
    <col min="5" max="5" width="13.421875" style="1" customWidth="1"/>
    <col min="6" max="6" width="13.421875" style="3" customWidth="1"/>
    <col min="7" max="7" width="13.8515625" style="1" customWidth="1"/>
    <col min="8" max="8" width="14.140625" style="1" customWidth="1"/>
    <col min="9" max="9" width="14.57421875" style="1" customWidth="1"/>
    <col min="10" max="10" width="15.140625" style="1" customWidth="1"/>
    <col min="11" max="11" width="12.57421875" style="1" customWidth="1"/>
    <col min="12" max="12" width="15.140625" style="1" customWidth="1"/>
    <col min="13" max="13" width="14.140625" style="1" customWidth="1"/>
    <col min="14" max="14" width="11.7109375" style="1" bestFit="1" customWidth="1"/>
    <col min="15" max="16384" width="9.140625" style="1" customWidth="1"/>
  </cols>
  <sheetData>
    <row r="1" spans="11:13" ht="12" customHeight="1">
      <c r="K1" s="4"/>
      <c r="L1" s="5" t="s">
        <v>90</v>
      </c>
      <c r="M1" s="4"/>
    </row>
    <row r="2" spans="11:13" ht="12.75" customHeight="1">
      <c r="K2" s="6"/>
      <c r="L2" s="7" t="s">
        <v>129</v>
      </c>
      <c r="M2" s="6"/>
    </row>
    <row r="3" spans="11:13" ht="12.75" customHeight="1">
      <c r="K3" s="6"/>
      <c r="L3" s="7" t="s">
        <v>10</v>
      </c>
      <c r="M3" s="6"/>
    </row>
    <row r="4" spans="11:13" ht="12" customHeight="1">
      <c r="K4" s="6"/>
      <c r="L4" s="7" t="s">
        <v>130</v>
      </c>
      <c r="M4" s="6"/>
    </row>
    <row r="5" spans="1:13" ht="15.75" customHeight="1">
      <c r="A5" s="156" t="s">
        <v>77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</row>
    <row r="6" ht="14.25" customHeight="1" thickBot="1"/>
    <row r="7" spans="1:13" s="9" customFormat="1" ht="19.5" customHeight="1" thickBot="1">
      <c r="A7" s="128" t="s">
        <v>0</v>
      </c>
      <c r="B7" s="128" t="s">
        <v>2</v>
      </c>
      <c r="C7" s="144" t="s">
        <v>19</v>
      </c>
      <c r="D7" s="145"/>
      <c r="E7" s="128" t="s">
        <v>1</v>
      </c>
      <c r="F7" s="144" t="s">
        <v>68</v>
      </c>
      <c r="G7" s="144" t="s">
        <v>69</v>
      </c>
      <c r="H7" s="144" t="s">
        <v>70</v>
      </c>
      <c r="I7" s="144" t="s">
        <v>71</v>
      </c>
      <c r="J7" s="144" t="s">
        <v>72</v>
      </c>
      <c r="K7" s="144" t="s">
        <v>73</v>
      </c>
      <c r="L7" s="144" t="s">
        <v>74</v>
      </c>
      <c r="M7" s="124" t="s">
        <v>76</v>
      </c>
    </row>
    <row r="8" spans="1:13" s="9" customFormat="1" ht="18.75" customHeight="1" thickBot="1">
      <c r="A8" s="128"/>
      <c r="B8" s="128"/>
      <c r="C8" s="146"/>
      <c r="D8" s="147"/>
      <c r="E8" s="128"/>
      <c r="F8" s="155"/>
      <c r="G8" s="155"/>
      <c r="H8" s="155"/>
      <c r="I8" s="155"/>
      <c r="J8" s="155"/>
      <c r="K8" s="155"/>
      <c r="L8" s="155"/>
      <c r="M8" s="125"/>
    </row>
    <row r="9" spans="1:13" s="10" customFormat="1" ht="17.25" customHeight="1" thickBot="1">
      <c r="A9" s="128"/>
      <c r="B9" s="128"/>
      <c r="C9" s="8" t="s">
        <v>11</v>
      </c>
      <c r="D9" s="8" t="s">
        <v>12</v>
      </c>
      <c r="E9" s="128"/>
      <c r="F9" s="146"/>
      <c r="G9" s="146"/>
      <c r="H9" s="146"/>
      <c r="I9" s="146"/>
      <c r="J9" s="146"/>
      <c r="K9" s="146"/>
      <c r="L9" s="146"/>
      <c r="M9" s="126"/>
    </row>
    <row r="10" spans="1:14" s="12" customFormat="1" ht="12.75" customHeight="1">
      <c r="A10" s="171" t="s">
        <v>20</v>
      </c>
      <c r="B10" s="171"/>
      <c r="C10" s="171"/>
      <c r="D10" s="171"/>
      <c r="E10" s="172">
        <f>SUM(E11:E12)</f>
        <v>334974875.96999997</v>
      </c>
      <c r="F10" s="172">
        <f aca="true" t="shared" si="0" ref="F10:L10">SUM(F11:F12)</f>
        <v>59084108.34</v>
      </c>
      <c r="G10" s="172">
        <f t="shared" si="0"/>
        <v>73698787.47</v>
      </c>
      <c r="H10" s="172">
        <f>SUM(H11:H12)</f>
        <v>32383859.37</v>
      </c>
      <c r="I10" s="172">
        <f t="shared" si="0"/>
        <v>26701589</v>
      </c>
      <c r="J10" s="172">
        <f t="shared" si="0"/>
        <v>24661726</v>
      </c>
      <c r="K10" s="172">
        <f t="shared" si="0"/>
        <v>26128126</v>
      </c>
      <c r="L10" s="172">
        <f t="shared" si="0"/>
        <v>19309829</v>
      </c>
      <c r="M10" s="172">
        <f>SUM(M11:M12)</f>
        <v>261968025.18</v>
      </c>
      <c r="N10" s="193">
        <f>SUM(F10:L10)</f>
        <v>261968025.18</v>
      </c>
    </row>
    <row r="11" spans="1:14" s="12" customFormat="1" ht="12.75" customHeight="1">
      <c r="A11" s="173" t="s">
        <v>21</v>
      </c>
      <c r="B11" s="173"/>
      <c r="C11" s="173"/>
      <c r="D11" s="173"/>
      <c r="E11" s="174">
        <f aca="true" t="shared" si="1" ref="E11:M11">SUM(E17,E126,)</f>
        <v>10391795.2</v>
      </c>
      <c r="F11" s="174">
        <f t="shared" si="1"/>
        <v>3442794.3200000003</v>
      </c>
      <c r="G11" s="174">
        <f t="shared" si="1"/>
        <v>2602759.59</v>
      </c>
      <c r="H11" s="174">
        <f t="shared" si="1"/>
        <v>1056181.37</v>
      </c>
      <c r="I11" s="174">
        <f t="shared" si="1"/>
        <v>0</v>
      </c>
      <c r="J11" s="174">
        <f t="shared" si="1"/>
        <v>0</v>
      </c>
      <c r="K11" s="174">
        <f t="shared" si="1"/>
        <v>0</v>
      </c>
      <c r="L11" s="174">
        <f t="shared" si="1"/>
        <v>0</v>
      </c>
      <c r="M11" s="174">
        <f t="shared" si="1"/>
        <v>7101735.28</v>
      </c>
      <c r="N11" s="193">
        <f aca="true" t="shared" si="2" ref="N11:N17">SUM(F11:L11)</f>
        <v>7101735.28</v>
      </c>
    </row>
    <row r="12" spans="1:14" s="12" customFormat="1" ht="12.75" customHeight="1">
      <c r="A12" s="175" t="s">
        <v>22</v>
      </c>
      <c r="B12" s="175"/>
      <c r="C12" s="175"/>
      <c r="D12" s="175"/>
      <c r="E12" s="174">
        <f aca="true" t="shared" si="3" ref="E12:L12">SUM(E15)</f>
        <v>324583080.77</v>
      </c>
      <c r="F12" s="174">
        <f t="shared" si="3"/>
        <v>55641314.02</v>
      </c>
      <c r="G12" s="174">
        <f t="shared" si="3"/>
        <v>71096027.88</v>
      </c>
      <c r="H12" s="174">
        <f t="shared" si="3"/>
        <v>31327678</v>
      </c>
      <c r="I12" s="174">
        <f t="shared" si="3"/>
        <v>26701589</v>
      </c>
      <c r="J12" s="174">
        <f t="shared" si="3"/>
        <v>24661726</v>
      </c>
      <c r="K12" s="174">
        <f t="shared" si="3"/>
        <v>26128126</v>
      </c>
      <c r="L12" s="174">
        <f t="shared" si="3"/>
        <v>19309829</v>
      </c>
      <c r="M12" s="174">
        <f>SUM(M15)</f>
        <v>254866289.9</v>
      </c>
      <c r="N12" s="193">
        <f t="shared" si="2"/>
        <v>254866289.9</v>
      </c>
    </row>
    <row r="13" spans="1:14" s="12" customFormat="1" ht="12.75" customHeight="1">
      <c r="A13" s="129" t="s">
        <v>27</v>
      </c>
      <c r="B13" s="129"/>
      <c r="C13" s="129"/>
      <c r="D13" s="129"/>
      <c r="E13" s="176">
        <f aca="true" t="shared" si="4" ref="E13:L13">SUM(E14:E15)</f>
        <v>334974875.96999997</v>
      </c>
      <c r="F13" s="176">
        <f t="shared" si="4"/>
        <v>59084108.34</v>
      </c>
      <c r="G13" s="176">
        <f t="shared" si="4"/>
        <v>73698787.47</v>
      </c>
      <c r="H13" s="176">
        <f t="shared" si="4"/>
        <v>32383859.37</v>
      </c>
      <c r="I13" s="176">
        <f t="shared" si="4"/>
        <v>26701589</v>
      </c>
      <c r="J13" s="176">
        <f t="shared" si="4"/>
        <v>24661726</v>
      </c>
      <c r="K13" s="176">
        <f t="shared" si="4"/>
        <v>26128126</v>
      </c>
      <c r="L13" s="176">
        <f t="shared" si="4"/>
        <v>19309829</v>
      </c>
      <c r="M13" s="176">
        <f>SUM(M14:M15)</f>
        <v>261968025.18</v>
      </c>
      <c r="N13" s="193">
        <f t="shared" si="2"/>
        <v>261968025.18</v>
      </c>
    </row>
    <row r="14" spans="1:14" s="12" customFormat="1" ht="12.75" customHeight="1">
      <c r="A14" s="136" t="s">
        <v>21</v>
      </c>
      <c r="B14" s="136"/>
      <c r="C14" s="136"/>
      <c r="D14" s="136"/>
      <c r="E14" s="174">
        <f>SUM(E17,E126)</f>
        <v>10391795.2</v>
      </c>
      <c r="F14" s="174">
        <f>SUM(F17,F126)</f>
        <v>3442794.3200000003</v>
      </c>
      <c r="G14" s="174">
        <f>SUM(G17,G126)</f>
        <v>2602759.59</v>
      </c>
      <c r="H14" s="174">
        <f>SUM(H17,H126)</f>
        <v>1056181.37</v>
      </c>
      <c r="I14" s="174">
        <f>SUM(I20,I129,)</f>
        <v>0</v>
      </c>
      <c r="J14" s="174">
        <f>SUM(J20,J129,)</f>
        <v>0</v>
      </c>
      <c r="K14" s="174">
        <f>SUM(K20,K129,)</f>
        <v>0</v>
      </c>
      <c r="L14" s="174">
        <f>SUM(L20,L129,)</f>
        <v>0</v>
      </c>
      <c r="M14" s="174">
        <f>SUM(M17,M126)</f>
        <v>7101735.28</v>
      </c>
      <c r="N14" s="193">
        <f t="shared" si="2"/>
        <v>7101735.28</v>
      </c>
    </row>
    <row r="15" spans="1:14" s="12" customFormat="1" ht="12.75" customHeight="1">
      <c r="A15" s="136" t="s">
        <v>22</v>
      </c>
      <c r="B15" s="136"/>
      <c r="C15" s="136"/>
      <c r="D15" s="136"/>
      <c r="E15" s="174">
        <f aca="true" t="shared" si="5" ref="E15:M15">SUM(E63,E133)</f>
        <v>324583080.77</v>
      </c>
      <c r="F15" s="174">
        <f t="shared" si="5"/>
        <v>55641314.02</v>
      </c>
      <c r="G15" s="174">
        <f t="shared" si="5"/>
        <v>71096027.88</v>
      </c>
      <c r="H15" s="174">
        <f t="shared" si="5"/>
        <v>31327678</v>
      </c>
      <c r="I15" s="174">
        <f t="shared" si="5"/>
        <v>26701589</v>
      </c>
      <c r="J15" s="174">
        <f t="shared" si="5"/>
        <v>24661726</v>
      </c>
      <c r="K15" s="174">
        <f t="shared" si="5"/>
        <v>26128126</v>
      </c>
      <c r="L15" s="174">
        <f t="shared" si="5"/>
        <v>19309829</v>
      </c>
      <c r="M15" s="174">
        <f t="shared" si="5"/>
        <v>254866289.9</v>
      </c>
      <c r="N15" s="193">
        <f t="shared" si="2"/>
        <v>254866289.9</v>
      </c>
    </row>
    <row r="16" spans="1:14" s="178" customFormat="1" ht="12.75" customHeight="1">
      <c r="A16" s="177" t="s">
        <v>60</v>
      </c>
      <c r="B16" s="177"/>
      <c r="C16" s="177"/>
      <c r="D16" s="177"/>
      <c r="E16" s="176">
        <f aca="true" t="shared" si="6" ref="E16:M16">SUM(E17,E63)</f>
        <v>35899691.5</v>
      </c>
      <c r="F16" s="176">
        <f t="shared" si="6"/>
        <v>12066257.459999999</v>
      </c>
      <c r="G16" s="176">
        <f t="shared" si="6"/>
        <v>16758196.469999999</v>
      </c>
      <c r="H16" s="176">
        <f t="shared" si="6"/>
        <v>1056181.37</v>
      </c>
      <c r="I16" s="176">
        <f t="shared" si="6"/>
        <v>0</v>
      </c>
      <c r="J16" s="176">
        <f t="shared" si="6"/>
        <v>0</v>
      </c>
      <c r="K16" s="176">
        <f t="shared" si="6"/>
        <v>0</v>
      </c>
      <c r="L16" s="176">
        <f t="shared" si="6"/>
        <v>0</v>
      </c>
      <c r="M16" s="176">
        <f t="shared" si="6"/>
        <v>29880635.3</v>
      </c>
      <c r="N16" s="193">
        <f>SUM(F16:L16)</f>
        <v>29880635.3</v>
      </c>
    </row>
    <row r="17" spans="1:14" s="178" customFormat="1" ht="12.75" customHeight="1">
      <c r="A17" s="179" t="s">
        <v>21</v>
      </c>
      <c r="B17" s="179"/>
      <c r="C17" s="179"/>
      <c r="D17" s="179"/>
      <c r="E17" s="13">
        <f>SUM(E18,E37,E43,E50,E56)</f>
        <v>7302682.199999999</v>
      </c>
      <c r="F17" s="13">
        <f>SUM(F18,F37,F43,F50,F56)</f>
        <v>1708417.32</v>
      </c>
      <c r="G17" s="13">
        <f>SUM(G18,G37,G43,G50,G56)</f>
        <v>2602759.59</v>
      </c>
      <c r="H17" s="13">
        <f>SUM(H18,H37,H43,H50,H56)</f>
        <v>1056181.37</v>
      </c>
      <c r="I17" s="13">
        <f>SUM(I18,I43)</f>
        <v>0</v>
      </c>
      <c r="J17" s="13">
        <f>SUM(J18,J43)</f>
        <v>0</v>
      </c>
      <c r="K17" s="13">
        <f>SUM(K18,K43)</f>
        <v>0</v>
      </c>
      <c r="L17" s="13">
        <f>SUM(L18,L43)</f>
        <v>0</v>
      </c>
      <c r="M17" s="13">
        <f>SUM(M18,M37,M43,M50,M56)</f>
        <v>5367358.28</v>
      </c>
      <c r="N17" s="193">
        <f t="shared" si="2"/>
        <v>5367358.28</v>
      </c>
    </row>
    <row r="18" spans="1:14" s="15" customFormat="1" ht="12.75" customHeight="1">
      <c r="A18" s="148" t="s">
        <v>17</v>
      </c>
      <c r="B18" s="148"/>
      <c r="C18" s="148"/>
      <c r="D18" s="148"/>
      <c r="E18" s="14">
        <f aca="true" t="shared" si="7" ref="E18:L18">SUM(E21)</f>
        <v>280230.85000000003</v>
      </c>
      <c r="F18" s="14">
        <f t="shared" si="7"/>
        <v>75988.03</v>
      </c>
      <c r="G18" s="14">
        <f>SUM(G21)</f>
        <v>105643.22</v>
      </c>
      <c r="H18" s="14">
        <f t="shared" si="7"/>
        <v>0</v>
      </c>
      <c r="I18" s="14">
        <f t="shared" si="7"/>
        <v>0</v>
      </c>
      <c r="J18" s="14">
        <f t="shared" si="7"/>
        <v>0</v>
      </c>
      <c r="K18" s="14">
        <f t="shared" si="7"/>
        <v>0</v>
      </c>
      <c r="L18" s="14">
        <f t="shared" si="7"/>
        <v>0</v>
      </c>
      <c r="M18" s="14">
        <f>SUM(M21)</f>
        <v>181631.25</v>
      </c>
      <c r="N18" s="193">
        <f>SUM(F18:L18)</f>
        <v>181631.25</v>
      </c>
    </row>
    <row r="19" spans="1:14" s="21" customFormat="1" ht="12.75" customHeight="1">
      <c r="A19" s="134" t="s">
        <v>35</v>
      </c>
      <c r="B19" s="134"/>
      <c r="C19" s="134"/>
      <c r="D19" s="134"/>
      <c r="E19" s="16"/>
      <c r="F19" s="17"/>
      <c r="G19" s="18"/>
      <c r="H19" s="19"/>
      <c r="I19" s="19"/>
      <c r="J19" s="20"/>
      <c r="K19" s="20"/>
      <c r="L19" s="20"/>
      <c r="M19" s="20"/>
      <c r="N19" s="11"/>
    </row>
    <row r="20" spans="1:13" s="22" customFormat="1" ht="12.75" customHeight="1">
      <c r="A20" s="140" t="s">
        <v>36</v>
      </c>
      <c r="B20" s="141"/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2"/>
    </row>
    <row r="21" spans="1:13" s="27" customFormat="1" ht="12.75" customHeight="1">
      <c r="A21" s="23" t="s">
        <v>28</v>
      </c>
      <c r="B21" s="24"/>
      <c r="C21" s="25">
        <v>2009</v>
      </c>
      <c r="D21" s="25">
        <v>2012</v>
      </c>
      <c r="E21" s="26">
        <f>SUM(E23,E27,E31,E35)</f>
        <v>280230.85000000003</v>
      </c>
      <c r="F21" s="26">
        <f>SUM(F23,F27,F31,F35)</f>
        <v>75988.03</v>
      </c>
      <c r="G21" s="26">
        <f>SUM(G23,G27,G31,G35)</f>
        <v>105643.22</v>
      </c>
      <c r="H21" s="26">
        <v>0</v>
      </c>
      <c r="I21" s="26">
        <f>SUM(I23,I27,I31,I35)</f>
        <v>0</v>
      </c>
      <c r="J21" s="26">
        <f>SUM(J23,J27,J31,J35)</f>
        <v>0</v>
      </c>
      <c r="K21" s="26">
        <f>SUM(K23,K27,K31,K35)</f>
        <v>0</v>
      </c>
      <c r="L21" s="26">
        <f>SUM(L23,L27,L31,L35)</f>
        <v>0</v>
      </c>
      <c r="M21" s="26">
        <f>SUM(F21:G21)</f>
        <v>181631.25</v>
      </c>
    </row>
    <row r="22" spans="1:13" s="27" customFormat="1" ht="12.75" customHeight="1">
      <c r="A22" s="23"/>
      <c r="B22" s="24"/>
      <c r="C22" s="25"/>
      <c r="D22" s="25"/>
      <c r="E22" s="26"/>
      <c r="F22" s="26"/>
      <c r="G22" s="26"/>
      <c r="H22" s="26"/>
      <c r="I22" s="26"/>
      <c r="J22" s="26"/>
      <c r="K22" s="26"/>
      <c r="L22" s="26"/>
      <c r="M22" s="26"/>
    </row>
    <row r="23" spans="1:13" s="27" customFormat="1" ht="12.75" customHeight="1">
      <c r="A23" s="28" t="s">
        <v>29</v>
      </c>
      <c r="B23" s="24" t="s">
        <v>44</v>
      </c>
      <c r="C23" s="25">
        <v>2009</v>
      </c>
      <c r="D23" s="25">
        <v>2012</v>
      </c>
      <c r="E23" s="26">
        <f>95198+8000-12392.61</f>
        <v>90805.39</v>
      </c>
      <c r="F23" s="26">
        <f>68000-2392.61</f>
        <v>65607.39</v>
      </c>
      <c r="G23" s="26">
        <f>10000+8000</f>
        <v>18000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f>SUM(F23:G23)</f>
        <v>83607.39</v>
      </c>
    </row>
    <row r="24" spans="1:13" s="27" customFormat="1" ht="12.75">
      <c r="A24" s="23"/>
      <c r="B24" s="24" t="s">
        <v>45</v>
      </c>
      <c r="C24" s="29"/>
      <c r="D24" s="24"/>
      <c r="E24" s="26"/>
      <c r="F24" s="26"/>
      <c r="G24" s="26"/>
      <c r="H24" s="26"/>
      <c r="I24" s="26"/>
      <c r="J24" s="26"/>
      <c r="K24" s="26"/>
      <c r="L24" s="26"/>
      <c r="M24" s="26"/>
    </row>
    <row r="25" spans="1:13" s="27" customFormat="1" ht="12.75">
      <c r="A25" s="23"/>
      <c r="B25" s="24" t="s">
        <v>46</v>
      </c>
      <c r="C25" s="29"/>
      <c r="D25" s="24"/>
      <c r="E25" s="26"/>
      <c r="F25" s="26"/>
      <c r="G25" s="26"/>
      <c r="H25" s="26"/>
      <c r="I25" s="26"/>
      <c r="J25" s="26"/>
      <c r="K25" s="26"/>
      <c r="L25" s="26"/>
      <c r="M25" s="26"/>
    </row>
    <row r="26" spans="1:13" s="27" customFormat="1" ht="12.75">
      <c r="A26" s="23"/>
      <c r="B26" s="24"/>
      <c r="C26" s="29"/>
      <c r="D26" s="24"/>
      <c r="E26" s="26"/>
      <c r="F26" s="26"/>
      <c r="G26" s="26"/>
      <c r="H26" s="26"/>
      <c r="I26" s="26"/>
      <c r="J26" s="26"/>
      <c r="K26" s="26"/>
      <c r="L26" s="26"/>
      <c r="M26" s="26"/>
    </row>
    <row r="27" spans="1:13" s="27" customFormat="1" ht="12.75" customHeight="1">
      <c r="A27" s="28" t="s">
        <v>117</v>
      </c>
      <c r="B27" s="24" t="s">
        <v>44</v>
      </c>
      <c r="C27" s="25">
        <v>2009</v>
      </c>
      <c r="D27" s="25">
        <v>2012</v>
      </c>
      <c r="E27" s="26">
        <v>158660.82</v>
      </c>
      <c r="F27" s="26">
        <v>5500</v>
      </c>
      <c r="G27" s="26">
        <v>78643.22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f>SUM(F27:G27)</f>
        <v>84143.22</v>
      </c>
    </row>
    <row r="28" spans="1:13" s="27" customFormat="1" ht="12.75">
      <c r="A28" s="23" t="s">
        <v>118</v>
      </c>
      <c r="B28" s="24" t="s">
        <v>45</v>
      </c>
      <c r="C28" s="29"/>
      <c r="D28" s="24"/>
      <c r="E28" s="26"/>
      <c r="F28" s="26"/>
      <c r="G28" s="26"/>
      <c r="H28" s="26"/>
      <c r="I28" s="26"/>
      <c r="J28" s="26"/>
      <c r="K28" s="26"/>
      <c r="L28" s="26"/>
      <c r="M28" s="26"/>
    </row>
    <row r="29" spans="1:13" s="27" customFormat="1" ht="12.75">
      <c r="A29" s="23"/>
      <c r="B29" s="24" t="s">
        <v>46</v>
      </c>
      <c r="C29" s="29"/>
      <c r="D29" s="24"/>
      <c r="E29" s="26"/>
      <c r="F29" s="26"/>
      <c r="G29" s="26"/>
      <c r="H29" s="26"/>
      <c r="I29" s="26"/>
      <c r="J29" s="26"/>
      <c r="K29" s="26"/>
      <c r="L29" s="26"/>
      <c r="M29" s="26"/>
    </row>
    <row r="30" spans="1:13" s="27" customFormat="1" ht="12.75">
      <c r="A30" s="23"/>
      <c r="B30" s="24"/>
      <c r="C30" s="24"/>
      <c r="D30" s="24"/>
      <c r="E30" s="26"/>
      <c r="F30" s="26"/>
      <c r="G30" s="26"/>
      <c r="H30" s="26"/>
      <c r="I30" s="26"/>
      <c r="J30" s="26"/>
      <c r="K30" s="26"/>
      <c r="L30" s="26"/>
      <c r="M30" s="26"/>
    </row>
    <row r="31" spans="1:13" s="27" customFormat="1" ht="12.75">
      <c r="A31" s="28" t="s">
        <v>119</v>
      </c>
      <c r="B31" s="24" t="s">
        <v>44</v>
      </c>
      <c r="C31" s="25">
        <v>2009</v>
      </c>
      <c r="D31" s="25">
        <v>2012</v>
      </c>
      <c r="E31" s="26">
        <v>18198</v>
      </c>
      <c r="F31" s="26">
        <v>0</v>
      </c>
      <c r="G31" s="26">
        <v>9000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f>SUM(F31:G31)</f>
        <v>9000</v>
      </c>
    </row>
    <row r="32" spans="1:13" s="27" customFormat="1" ht="12.75">
      <c r="A32" s="23"/>
      <c r="B32" s="24" t="s">
        <v>45</v>
      </c>
      <c r="C32" s="29"/>
      <c r="D32" s="25"/>
      <c r="E32" s="26"/>
      <c r="F32" s="26"/>
      <c r="G32" s="26"/>
      <c r="H32" s="26"/>
      <c r="I32" s="26"/>
      <c r="J32" s="26"/>
      <c r="K32" s="26"/>
      <c r="L32" s="26"/>
      <c r="M32" s="26"/>
    </row>
    <row r="33" spans="1:13" s="27" customFormat="1" ht="12.75">
      <c r="A33" s="23"/>
      <c r="B33" s="24" t="s">
        <v>46</v>
      </c>
      <c r="C33" s="29"/>
      <c r="D33" s="25"/>
      <c r="E33" s="26"/>
      <c r="F33" s="26"/>
      <c r="G33" s="26"/>
      <c r="H33" s="26"/>
      <c r="I33" s="26"/>
      <c r="J33" s="26"/>
      <c r="K33" s="26"/>
      <c r="L33" s="26"/>
      <c r="M33" s="26"/>
    </row>
    <row r="34" spans="1:13" s="27" customFormat="1" ht="12.75">
      <c r="A34" s="23"/>
      <c r="B34" s="24"/>
      <c r="C34" s="29"/>
      <c r="D34" s="25"/>
      <c r="E34" s="26"/>
      <c r="F34" s="26"/>
      <c r="G34" s="26"/>
      <c r="H34" s="26"/>
      <c r="I34" s="26"/>
      <c r="J34" s="26"/>
      <c r="K34" s="26"/>
      <c r="L34" s="26"/>
      <c r="M34" s="26"/>
    </row>
    <row r="35" spans="1:13" s="27" customFormat="1" ht="12.75">
      <c r="A35" s="28" t="s">
        <v>30</v>
      </c>
      <c r="B35" s="24" t="s">
        <v>3</v>
      </c>
      <c r="C35" s="25">
        <v>2009</v>
      </c>
      <c r="D35" s="25">
        <v>2011</v>
      </c>
      <c r="E35" s="26">
        <f>22490.37-9923.73</f>
        <v>12566.64</v>
      </c>
      <c r="F35" s="26">
        <f>14804.37-9923.73</f>
        <v>4880.640000000001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f>SUM(F35:G35)</f>
        <v>4880.640000000001</v>
      </c>
    </row>
    <row r="36" spans="1:13" s="27" customFormat="1" ht="12.75">
      <c r="A36" s="23"/>
      <c r="B36" s="24" t="s">
        <v>4</v>
      </c>
      <c r="C36" s="29"/>
      <c r="D36" s="25"/>
      <c r="E36" s="26"/>
      <c r="F36" s="26"/>
      <c r="G36" s="26"/>
      <c r="H36" s="26"/>
      <c r="I36" s="26"/>
      <c r="J36" s="26"/>
      <c r="K36" s="26"/>
      <c r="L36" s="26"/>
      <c r="M36" s="26"/>
    </row>
    <row r="37" spans="1:15" s="27" customFormat="1" ht="12.75" customHeight="1">
      <c r="A37" s="148" t="s">
        <v>17</v>
      </c>
      <c r="B37" s="148"/>
      <c r="C37" s="148"/>
      <c r="D37" s="148"/>
      <c r="E37" s="34">
        <f>SUM(E40)</f>
        <v>17500</v>
      </c>
      <c r="F37" s="34">
        <f>SUM(F40)</f>
        <v>14000</v>
      </c>
      <c r="G37" s="34">
        <f>SUM(G40)</f>
        <v>3500</v>
      </c>
      <c r="H37" s="34">
        <f>SUM(H40)</f>
        <v>0</v>
      </c>
      <c r="I37" s="34">
        <v>0</v>
      </c>
      <c r="J37" s="34">
        <v>0</v>
      </c>
      <c r="K37" s="34">
        <v>0</v>
      </c>
      <c r="L37" s="34">
        <v>0</v>
      </c>
      <c r="M37" s="34">
        <f>SUM(M40)</f>
        <v>17500</v>
      </c>
      <c r="N37" s="180"/>
      <c r="O37" s="181"/>
    </row>
    <row r="38" spans="1:15" s="27" customFormat="1" ht="12.75">
      <c r="A38" s="182" t="s">
        <v>126</v>
      </c>
      <c r="B38" s="182"/>
      <c r="C38" s="182"/>
      <c r="D38" s="182"/>
      <c r="E38" s="33"/>
      <c r="F38" s="33"/>
      <c r="G38" s="33"/>
      <c r="H38" s="33"/>
      <c r="I38" s="33"/>
      <c r="J38" s="33"/>
      <c r="K38" s="33"/>
      <c r="L38" s="33"/>
      <c r="M38" s="33"/>
      <c r="N38" s="180"/>
      <c r="O38" s="181"/>
    </row>
    <row r="39" spans="1:15" s="27" customFormat="1" ht="12.75">
      <c r="A39" s="143" t="s">
        <v>37</v>
      </c>
      <c r="B39" s="143"/>
      <c r="C39" s="143"/>
      <c r="D39" s="143"/>
      <c r="E39" s="143"/>
      <c r="F39" s="143"/>
      <c r="G39" s="143"/>
      <c r="H39" s="143"/>
      <c r="I39" s="143"/>
      <c r="J39" s="143"/>
      <c r="K39" s="143"/>
      <c r="L39" s="143"/>
      <c r="M39" s="143"/>
      <c r="N39" s="183"/>
      <c r="O39" s="184"/>
    </row>
    <row r="40" spans="1:15" s="27" customFormat="1" ht="12.75">
      <c r="A40" s="112" t="s">
        <v>127</v>
      </c>
      <c r="B40" s="46" t="s">
        <v>44</v>
      </c>
      <c r="C40" s="44">
        <v>2011</v>
      </c>
      <c r="D40" s="44">
        <v>2012</v>
      </c>
      <c r="E40" s="34">
        <v>17500</v>
      </c>
      <c r="F40" s="34">
        <v>14000</v>
      </c>
      <c r="G40" s="34">
        <v>3500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26">
        <f>SUM(F40:G40)</f>
        <v>17500</v>
      </c>
      <c r="N40" s="180"/>
      <c r="O40" s="181"/>
    </row>
    <row r="41" spans="1:15" s="27" customFormat="1" ht="12.75">
      <c r="A41" s="32"/>
      <c r="B41" s="24" t="s">
        <v>45</v>
      </c>
      <c r="C41" s="32"/>
      <c r="D41" s="32"/>
      <c r="E41" s="31"/>
      <c r="F41" s="31"/>
      <c r="G41" s="31"/>
      <c r="H41" s="31"/>
      <c r="I41" s="31"/>
      <c r="J41" s="31"/>
      <c r="K41" s="31"/>
      <c r="L41" s="31"/>
      <c r="M41" s="31"/>
      <c r="N41" s="180"/>
      <c r="O41" s="181"/>
    </row>
    <row r="42" spans="1:15" s="27" customFormat="1" ht="12.75">
      <c r="A42" s="185"/>
      <c r="B42" s="41" t="s">
        <v>46</v>
      </c>
      <c r="C42" s="185"/>
      <c r="D42" s="185"/>
      <c r="E42" s="33"/>
      <c r="F42" s="33"/>
      <c r="G42" s="33"/>
      <c r="H42" s="33"/>
      <c r="I42" s="33"/>
      <c r="J42" s="33"/>
      <c r="K42" s="33"/>
      <c r="L42" s="33"/>
      <c r="M42" s="33"/>
      <c r="N42" s="180"/>
      <c r="O42" s="181"/>
    </row>
    <row r="43" spans="1:13" s="22" customFormat="1" ht="13.5" customHeight="1">
      <c r="A43" s="113" t="s">
        <v>87</v>
      </c>
      <c r="B43" s="114"/>
      <c r="C43" s="114"/>
      <c r="D43" s="115"/>
      <c r="E43" s="14">
        <f>SUM(E46)</f>
        <v>4699131.35</v>
      </c>
      <c r="F43" s="14">
        <f aca="true" t="shared" si="8" ref="F43:L43">SUM(F46)</f>
        <v>835714.29</v>
      </c>
      <c r="G43" s="14">
        <f t="shared" si="8"/>
        <v>1013346.37</v>
      </c>
      <c r="H43" s="14">
        <f>SUM(H46)</f>
        <v>1013346.37</v>
      </c>
      <c r="I43" s="14">
        <f t="shared" si="8"/>
        <v>0</v>
      </c>
      <c r="J43" s="14">
        <f t="shared" si="8"/>
        <v>0</v>
      </c>
      <c r="K43" s="14">
        <f t="shared" si="8"/>
        <v>0</v>
      </c>
      <c r="L43" s="14">
        <f t="shared" si="8"/>
        <v>0</v>
      </c>
      <c r="M43" s="14">
        <f>SUM(M46)</f>
        <v>2862407.0300000003</v>
      </c>
    </row>
    <row r="44" spans="1:13" s="22" customFormat="1" ht="12.75" customHeight="1">
      <c r="A44" s="131" t="s">
        <v>88</v>
      </c>
      <c r="B44" s="132"/>
      <c r="C44" s="132"/>
      <c r="D44" s="133"/>
      <c r="E44" s="30"/>
      <c r="F44" s="30"/>
      <c r="G44" s="30"/>
      <c r="H44" s="30"/>
      <c r="I44" s="30"/>
      <c r="J44" s="30"/>
      <c r="K44" s="30"/>
      <c r="L44" s="30"/>
      <c r="M44" s="30"/>
    </row>
    <row r="45" spans="1:13" s="22" customFormat="1" ht="12.75" customHeight="1">
      <c r="A45" s="109" t="s">
        <v>37</v>
      </c>
      <c r="B45" s="110"/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1"/>
    </row>
    <row r="46" spans="1:13" s="22" customFormat="1" ht="13.5" customHeight="1">
      <c r="A46" s="106" t="s">
        <v>39</v>
      </c>
      <c r="B46" s="25" t="s">
        <v>13</v>
      </c>
      <c r="C46" s="25">
        <v>2009</v>
      </c>
      <c r="D46" s="25">
        <v>2013</v>
      </c>
      <c r="E46" s="31">
        <f>4876763.43-158980.71-18651.37</f>
        <v>4699131.35</v>
      </c>
      <c r="F46" s="31">
        <f>1013346.37-158980.71-18651.37</f>
        <v>835714.29</v>
      </c>
      <c r="G46" s="31">
        <v>1013346.37</v>
      </c>
      <c r="H46" s="31">
        <v>1013346.37</v>
      </c>
      <c r="I46" s="31">
        <v>0</v>
      </c>
      <c r="J46" s="31">
        <v>0</v>
      </c>
      <c r="K46" s="31">
        <v>0</v>
      </c>
      <c r="L46" s="31">
        <v>0</v>
      </c>
      <c r="M46" s="31">
        <f>SUM(F46:H46)</f>
        <v>2862407.0300000003</v>
      </c>
    </row>
    <row r="47" spans="1:13" s="22" customFormat="1" ht="13.5" customHeight="1">
      <c r="A47" s="32"/>
      <c r="B47" s="25" t="s">
        <v>14</v>
      </c>
      <c r="C47" s="32"/>
      <c r="D47" s="32"/>
      <c r="E47" s="31"/>
      <c r="F47" s="31"/>
      <c r="G47" s="31"/>
      <c r="H47" s="31"/>
      <c r="I47" s="31"/>
      <c r="J47" s="31"/>
      <c r="K47" s="31"/>
      <c r="L47" s="31"/>
      <c r="M47" s="31"/>
    </row>
    <row r="48" spans="1:13" s="22" customFormat="1" ht="13.5" customHeight="1">
      <c r="A48" s="32"/>
      <c r="B48" s="25" t="s">
        <v>15</v>
      </c>
      <c r="C48" s="32"/>
      <c r="D48" s="32"/>
      <c r="E48" s="31"/>
      <c r="F48" s="31"/>
      <c r="G48" s="31"/>
      <c r="H48" s="31"/>
      <c r="I48" s="31"/>
      <c r="J48" s="31"/>
      <c r="K48" s="31"/>
      <c r="L48" s="31"/>
      <c r="M48" s="31"/>
    </row>
    <row r="49" spans="1:13" s="22" customFormat="1" ht="13.5" customHeight="1">
      <c r="A49" s="32"/>
      <c r="B49" s="25" t="s">
        <v>16</v>
      </c>
      <c r="C49" s="32"/>
      <c r="D49" s="32"/>
      <c r="E49" s="31"/>
      <c r="F49" s="33"/>
      <c r="G49" s="33"/>
      <c r="H49" s="33"/>
      <c r="I49" s="33"/>
      <c r="J49" s="33"/>
      <c r="K49" s="33"/>
      <c r="L49" s="33"/>
      <c r="M49" s="33"/>
    </row>
    <row r="50" spans="1:13" s="22" customFormat="1" ht="12.75">
      <c r="A50" s="149" t="s">
        <v>87</v>
      </c>
      <c r="B50" s="150"/>
      <c r="C50" s="150"/>
      <c r="D50" s="151"/>
      <c r="E50" s="34">
        <f>SUM(E53)</f>
        <v>1030940</v>
      </c>
      <c r="F50" s="31">
        <f>SUM(F53)</f>
        <v>558195</v>
      </c>
      <c r="G50" s="31">
        <f>SUM(G53)</f>
        <v>429910</v>
      </c>
      <c r="H50" s="31">
        <f>SUM(H53)</f>
        <v>42835</v>
      </c>
      <c r="I50" s="31">
        <v>0</v>
      </c>
      <c r="J50" s="31">
        <v>0</v>
      </c>
      <c r="K50" s="31">
        <v>0</v>
      </c>
      <c r="L50" s="31">
        <v>0</v>
      </c>
      <c r="M50" s="31">
        <f>SUM(M53)</f>
        <v>1030940</v>
      </c>
    </row>
    <row r="51" spans="1:13" s="22" customFormat="1" ht="15" customHeight="1">
      <c r="A51" s="131" t="s">
        <v>85</v>
      </c>
      <c r="B51" s="132"/>
      <c r="C51" s="132"/>
      <c r="D51" s="133"/>
      <c r="E51" s="33"/>
      <c r="F51" s="33"/>
      <c r="G51" s="33"/>
      <c r="H51" s="33"/>
      <c r="I51" s="33"/>
      <c r="J51" s="33"/>
      <c r="K51" s="33"/>
      <c r="L51" s="33"/>
      <c r="M51" s="33"/>
    </row>
    <row r="52" spans="1:13" s="22" customFormat="1" ht="12.75" customHeight="1">
      <c r="A52" s="140" t="s">
        <v>37</v>
      </c>
      <c r="B52" s="141"/>
      <c r="C52" s="141"/>
      <c r="D52" s="141"/>
      <c r="E52" s="141"/>
      <c r="F52" s="141"/>
      <c r="G52" s="141"/>
      <c r="H52" s="141"/>
      <c r="I52" s="141"/>
      <c r="J52" s="141"/>
      <c r="K52" s="141"/>
      <c r="L52" s="141"/>
      <c r="M52" s="142"/>
    </row>
    <row r="53" spans="1:13" s="22" customFormat="1" ht="13.5" customHeight="1">
      <c r="A53" s="106" t="s">
        <v>86</v>
      </c>
      <c r="B53" s="24" t="s">
        <v>44</v>
      </c>
      <c r="C53" s="25">
        <v>2011</v>
      </c>
      <c r="D53" s="25">
        <v>2013</v>
      </c>
      <c r="E53" s="31">
        <v>1030940</v>
      </c>
      <c r="F53" s="31">
        <v>558195</v>
      </c>
      <c r="G53" s="31">
        <v>429910</v>
      </c>
      <c r="H53" s="31">
        <v>42835</v>
      </c>
      <c r="I53" s="31">
        <v>0</v>
      </c>
      <c r="J53" s="31">
        <v>0</v>
      </c>
      <c r="K53" s="31">
        <v>0</v>
      </c>
      <c r="L53" s="31">
        <v>0</v>
      </c>
      <c r="M53" s="31">
        <f>SUM(F53:H53)</f>
        <v>1030940</v>
      </c>
    </row>
    <row r="54" spans="1:13" s="22" customFormat="1" ht="13.5" customHeight="1">
      <c r="A54" s="32"/>
      <c r="B54" s="24" t="s">
        <v>45</v>
      </c>
      <c r="C54" s="32"/>
      <c r="D54" s="32"/>
      <c r="E54" s="31"/>
      <c r="F54" s="31"/>
      <c r="G54" s="31"/>
      <c r="H54" s="31"/>
      <c r="I54" s="31"/>
      <c r="J54" s="31"/>
      <c r="K54" s="31"/>
      <c r="L54" s="31"/>
      <c r="M54" s="31"/>
    </row>
    <row r="55" spans="1:13" s="22" customFormat="1" ht="13.5" customHeight="1">
      <c r="A55" s="32"/>
      <c r="B55" s="24" t="s">
        <v>46</v>
      </c>
      <c r="C55" s="32"/>
      <c r="D55" s="32"/>
      <c r="E55" s="31"/>
      <c r="F55" s="31"/>
      <c r="G55" s="31"/>
      <c r="H55" s="31"/>
      <c r="I55" s="31"/>
      <c r="J55" s="31"/>
      <c r="K55" s="31"/>
      <c r="L55" s="31"/>
      <c r="M55" s="31"/>
    </row>
    <row r="56" spans="1:13" s="22" customFormat="1" ht="13.5" customHeight="1">
      <c r="A56" s="113" t="s">
        <v>87</v>
      </c>
      <c r="B56" s="114"/>
      <c r="C56" s="114"/>
      <c r="D56" s="115"/>
      <c r="E56" s="14">
        <f aca="true" t="shared" si="9" ref="E56:M56">SUM(E59)</f>
        <v>1274880</v>
      </c>
      <c r="F56" s="14">
        <f t="shared" si="9"/>
        <v>224520</v>
      </c>
      <c r="G56" s="14">
        <f t="shared" si="9"/>
        <v>1050360</v>
      </c>
      <c r="H56" s="14">
        <f t="shared" si="9"/>
        <v>0</v>
      </c>
      <c r="I56" s="14">
        <f t="shared" si="9"/>
        <v>0</v>
      </c>
      <c r="J56" s="14">
        <f t="shared" si="9"/>
        <v>0</v>
      </c>
      <c r="K56" s="14">
        <f t="shared" si="9"/>
        <v>0</v>
      </c>
      <c r="L56" s="14">
        <f t="shared" si="9"/>
        <v>0</v>
      </c>
      <c r="M56" s="14">
        <f t="shared" si="9"/>
        <v>1274880</v>
      </c>
    </row>
    <row r="57" spans="1:13" s="22" customFormat="1" ht="28.5" customHeight="1">
      <c r="A57" s="131" t="s">
        <v>94</v>
      </c>
      <c r="B57" s="132"/>
      <c r="C57" s="132"/>
      <c r="D57" s="133"/>
      <c r="E57" s="30"/>
      <c r="F57" s="30"/>
      <c r="G57" s="30"/>
      <c r="H57" s="30"/>
      <c r="I57" s="30"/>
      <c r="J57" s="30"/>
      <c r="K57" s="30"/>
      <c r="L57" s="30"/>
      <c r="M57" s="30"/>
    </row>
    <row r="58" spans="1:13" s="22" customFormat="1" ht="12.75" customHeight="1">
      <c r="A58" s="109" t="s">
        <v>37</v>
      </c>
      <c r="B58" s="110"/>
      <c r="C58" s="110"/>
      <c r="D58" s="110"/>
      <c r="E58" s="110"/>
      <c r="F58" s="110"/>
      <c r="G58" s="110"/>
      <c r="H58" s="110"/>
      <c r="I58" s="110"/>
      <c r="J58" s="110"/>
      <c r="K58" s="110"/>
      <c r="L58" s="110"/>
      <c r="M58" s="111"/>
    </row>
    <row r="59" spans="1:13" s="22" customFormat="1" ht="15" customHeight="1">
      <c r="A59" s="29" t="s">
        <v>95</v>
      </c>
      <c r="B59" s="25" t="s">
        <v>13</v>
      </c>
      <c r="C59" s="25">
        <v>2011</v>
      </c>
      <c r="D59" s="25">
        <v>2012</v>
      </c>
      <c r="E59" s="31">
        <f>1312880-38000</f>
        <v>1274880</v>
      </c>
      <c r="F59" s="31">
        <f>262520-38000</f>
        <v>224520</v>
      </c>
      <c r="G59" s="31">
        <v>1050360</v>
      </c>
      <c r="H59" s="31">
        <v>0</v>
      </c>
      <c r="I59" s="31">
        <v>0</v>
      </c>
      <c r="J59" s="31">
        <v>0</v>
      </c>
      <c r="K59" s="31">
        <v>0</v>
      </c>
      <c r="L59" s="31">
        <v>0</v>
      </c>
      <c r="M59" s="31">
        <f>SUM(F59:H59)</f>
        <v>1274880</v>
      </c>
    </row>
    <row r="60" spans="1:13" s="22" customFormat="1" ht="13.5" customHeight="1">
      <c r="A60" s="106"/>
      <c r="B60" s="25" t="s">
        <v>14</v>
      </c>
      <c r="C60" s="32"/>
      <c r="D60" s="32"/>
      <c r="E60" s="31"/>
      <c r="F60" s="31"/>
      <c r="G60" s="31"/>
      <c r="H60" s="31"/>
      <c r="I60" s="31"/>
      <c r="J60" s="31"/>
      <c r="K60" s="31"/>
      <c r="L60" s="31"/>
      <c r="M60" s="31"/>
    </row>
    <row r="61" spans="1:13" s="22" customFormat="1" ht="13.5" customHeight="1">
      <c r="A61" s="32"/>
      <c r="B61" s="25" t="s">
        <v>15</v>
      </c>
      <c r="C61" s="32"/>
      <c r="D61" s="32"/>
      <c r="E61" s="31"/>
      <c r="F61" s="31"/>
      <c r="G61" s="31"/>
      <c r="H61" s="31"/>
      <c r="I61" s="31"/>
      <c r="J61" s="31"/>
      <c r="K61" s="31"/>
      <c r="L61" s="31"/>
      <c r="M61" s="31"/>
    </row>
    <row r="62" spans="1:13" s="22" customFormat="1" ht="13.5" customHeight="1">
      <c r="A62" s="32"/>
      <c r="B62" s="25" t="s">
        <v>16</v>
      </c>
      <c r="C62" s="32"/>
      <c r="D62" s="32"/>
      <c r="E62" s="31"/>
      <c r="F62" s="33"/>
      <c r="G62" s="33"/>
      <c r="H62" s="33"/>
      <c r="I62" s="33"/>
      <c r="J62" s="33"/>
      <c r="K62" s="33"/>
      <c r="L62" s="33"/>
      <c r="M62" s="33"/>
    </row>
    <row r="63" spans="1:13" s="12" customFormat="1" ht="13.5" customHeight="1">
      <c r="A63" s="152" t="s">
        <v>22</v>
      </c>
      <c r="B63" s="153"/>
      <c r="C63" s="153"/>
      <c r="D63" s="154"/>
      <c r="E63" s="13">
        <f aca="true" t="shared" si="10" ref="E63:M63">SUM(E64,E71,E92,E98,E116)</f>
        <v>28597009.3</v>
      </c>
      <c r="F63" s="13">
        <f t="shared" si="10"/>
        <v>10357840.139999999</v>
      </c>
      <c r="G63" s="13">
        <f t="shared" si="10"/>
        <v>14155436.879999999</v>
      </c>
      <c r="H63" s="13">
        <f t="shared" si="10"/>
        <v>0</v>
      </c>
      <c r="I63" s="13">
        <f t="shared" si="10"/>
        <v>0</v>
      </c>
      <c r="J63" s="13">
        <f t="shared" si="10"/>
        <v>0</v>
      </c>
      <c r="K63" s="13">
        <f t="shared" si="10"/>
        <v>0</v>
      </c>
      <c r="L63" s="13">
        <f t="shared" si="10"/>
        <v>0</v>
      </c>
      <c r="M63" s="13">
        <f t="shared" si="10"/>
        <v>24513277.02</v>
      </c>
    </row>
    <row r="64" spans="1:13" s="22" customFormat="1" ht="13.5" customHeight="1">
      <c r="A64" s="113" t="s">
        <v>87</v>
      </c>
      <c r="B64" s="114"/>
      <c r="C64" s="114"/>
      <c r="D64" s="115"/>
      <c r="E64" s="14">
        <f aca="true" t="shared" si="11" ref="E64:M64">SUM(E67)</f>
        <v>38000</v>
      </c>
      <c r="F64" s="14">
        <f t="shared" si="11"/>
        <v>38000</v>
      </c>
      <c r="G64" s="14">
        <f t="shared" si="11"/>
        <v>0</v>
      </c>
      <c r="H64" s="14">
        <f t="shared" si="11"/>
        <v>0</v>
      </c>
      <c r="I64" s="14">
        <f t="shared" si="11"/>
        <v>0</v>
      </c>
      <c r="J64" s="14">
        <f t="shared" si="11"/>
        <v>0</v>
      </c>
      <c r="K64" s="14">
        <f t="shared" si="11"/>
        <v>0</v>
      </c>
      <c r="L64" s="14">
        <f t="shared" si="11"/>
        <v>0</v>
      </c>
      <c r="M64" s="14">
        <f t="shared" si="11"/>
        <v>38000</v>
      </c>
    </row>
    <row r="65" spans="1:13" s="22" customFormat="1" ht="28.5" customHeight="1">
      <c r="A65" s="131" t="s">
        <v>94</v>
      </c>
      <c r="B65" s="132"/>
      <c r="C65" s="132"/>
      <c r="D65" s="133"/>
      <c r="E65" s="30"/>
      <c r="F65" s="30"/>
      <c r="G65" s="30"/>
      <c r="H65" s="30"/>
      <c r="I65" s="30"/>
      <c r="J65" s="30"/>
      <c r="K65" s="30"/>
      <c r="L65" s="30"/>
      <c r="M65" s="30"/>
    </row>
    <row r="66" spans="1:13" s="22" customFormat="1" ht="12.75" customHeight="1">
      <c r="A66" s="109" t="s">
        <v>37</v>
      </c>
      <c r="B66" s="110"/>
      <c r="C66" s="110"/>
      <c r="D66" s="110"/>
      <c r="E66" s="110"/>
      <c r="F66" s="110"/>
      <c r="G66" s="110"/>
      <c r="H66" s="110"/>
      <c r="I66" s="110"/>
      <c r="J66" s="110"/>
      <c r="K66" s="110"/>
      <c r="L66" s="110"/>
      <c r="M66" s="111"/>
    </row>
    <row r="67" spans="1:13" s="22" customFormat="1" ht="15" customHeight="1">
      <c r="A67" s="29" t="s">
        <v>95</v>
      </c>
      <c r="B67" s="25" t="s">
        <v>13</v>
      </c>
      <c r="C67" s="25">
        <v>2011</v>
      </c>
      <c r="D67" s="25">
        <v>2012</v>
      </c>
      <c r="E67" s="31">
        <v>38000</v>
      </c>
      <c r="F67" s="31">
        <v>38000</v>
      </c>
      <c r="G67" s="31">
        <v>0</v>
      </c>
      <c r="H67" s="31">
        <v>0</v>
      </c>
      <c r="I67" s="31">
        <v>0</v>
      </c>
      <c r="J67" s="31">
        <v>0</v>
      </c>
      <c r="K67" s="31">
        <v>0</v>
      </c>
      <c r="L67" s="31">
        <v>0</v>
      </c>
      <c r="M67" s="31">
        <f>SUM(F67:H67)</f>
        <v>38000</v>
      </c>
    </row>
    <row r="68" spans="1:13" s="22" customFormat="1" ht="13.5" customHeight="1">
      <c r="A68" s="106"/>
      <c r="B68" s="25" t="s">
        <v>14</v>
      </c>
      <c r="C68" s="32"/>
      <c r="D68" s="32"/>
      <c r="E68" s="31"/>
      <c r="F68" s="31"/>
      <c r="G68" s="31"/>
      <c r="H68" s="31"/>
      <c r="I68" s="31"/>
      <c r="J68" s="31"/>
      <c r="K68" s="31"/>
      <c r="L68" s="31"/>
      <c r="M68" s="31"/>
    </row>
    <row r="69" spans="1:13" s="22" customFormat="1" ht="13.5" customHeight="1">
      <c r="A69" s="32"/>
      <c r="B69" s="25" t="s">
        <v>15</v>
      </c>
      <c r="C69" s="32"/>
      <c r="D69" s="32"/>
      <c r="E69" s="31"/>
      <c r="F69" s="31"/>
      <c r="G69" s="31"/>
      <c r="H69" s="31"/>
      <c r="I69" s="31"/>
      <c r="J69" s="31"/>
      <c r="K69" s="31"/>
      <c r="L69" s="31"/>
      <c r="M69" s="31"/>
    </row>
    <row r="70" spans="1:13" s="22" customFormat="1" ht="13.5" customHeight="1">
      <c r="A70" s="32"/>
      <c r="B70" s="25" t="s">
        <v>16</v>
      </c>
      <c r="C70" s="32"/>
      <c r="D70" s="32"/>
      <c r="E70" s="31"/>
      <c r="F70" s="31"/>
      <c r="G70" s="31"/>
      <c r="H70" s="31"/>
      <c r="I70" s="31"/>
      <c r="J70" s="31"/>
      <c r="K70" s="31"/>
      <c r="L70" s="31"/>
      <c r="M70" s="31"/>
    </row>
    <row r="71" spans="1:13" s="22" customFormat="1" ht="13.5" customHeight="1">
      <c r="A71" s="130" t="s">
        <v>75</v>
      </c>
      <c r="B71" s="130"/>
      <c r="C71" s="130"/>
      <c r="D71" s="130"/>
      <c r="E71" s="14">
        <f>SUM(E80)</f>
        <v>3035203.79</v>
      </c>
      <c r="F71" s="14">
        <f>SUM(F80)</f>
        <v>2957424.07</v>
      </c>
      <c r="G71" s="14">
        <f aca="true" t="shared" si="12" ref="G71:L71">SUM(G80,G95)</f>
        <v>0</v>
      </c>
      <c r="H71" s="14">
        <f t="shared" si="12"/>
        <v>0</v>
      </c>
      <c r="I71" s="14">
        <f t="shared" si="12"/>
        <v>0</v>
      </c>
      <c r="J71" s="14">
        <f t="shared" si="12"/>
        <v>0</v>
      </c>
      <c r="K71" s="14">
        <f t="shared" si="12"/>
        <v>0</v>
      </c>
      <c r="L71" s="14">
        <f t="shared" si="12"/>
        <v>0</v>
      </c>
      <c r="M71" s="14">
        <f>SUM(F71)</f>
        <v>2957424.07</v>
      </c>
    </row>
    <row r="72" spans="1:13" s="22" customFormat="1" ht="27" customHeight="1">
      <c r="A72" s="134" t="s">
        <v>51</v>
      </c>
      <c r="B72" s="134"/>
      <c r="C72" s="134"/>
      <c r="D72" s="134"/>
      <c r="E72" s="108"/>
      <c r="F72" s="35"/>
      <c r="G72" s="36"/>
      <c r="H72" s="36"/>
      <c r="I72" s="36"/>
      <c r="J72" s="37"/>
      <c r="K72" s="37"/>
      <c r="L72" s="37"/>
      <c r="M72" s="37"/>
    </row>
    <row r="73" spans="1:13" s="22" customFormat="1" ht="27" customHeight="1">
      <c r="A73" s="80"/>
      <c r="B73" s="80"/>
      <c r="C73" s="80"/>
      <c r="D73" s="80"/>
      <c r="E73" s="81"/>
      <c r="F73" s="82"/>
      <c r="G73" s="83"/>
      <c r="H73" s="83"/>
      <c r="I73" s="83"/>
      <c r="J73" s="84"/>
      <c r="K73" s="84"/>
      <c r="L73" s="84"/>
      <c r="M73" s="84"/>
    </row>
    <row r="74" spans="1:13" s="22" customFormat="1" ht="27" customHeight="1">
      <c r="A74" s="85"/>
      <c r="B74" s="85"/>
      <c r="C74" s="85"/>
      <c r="D74" s="85"/>
      <c r="E74" s="86"/>
      <c r="F74" s="87"/>
      <c r="G74" s="88"/>
      <c r="H74" s="88"/>
      <c r="I74" s="88"/>
      <c r="J74" s="89"/>
      <c r="K74" s="89"/>
      <c r="L74" s="89"/>
      <c r="M74" s="89"/>
    </row>
    <row r="75" spans="1:13" s="12" customFormat="1" ht="13.5" thickBot="1">
      <c r="A75" s="127" t="s">
        <v>63</v>
      </c>
      <c r="B75" s="127"/>
      <c r="C75" s="127"/>
      <c r="D75" s="127"/>
      <c r="E75" s="127"/>
      <c r="F75" s="127"/>
      <c r="G75" s="127"/>
      <c r="H75" s="127"/>
      <c r="I75" s="127"/>
      <c r="J75" s="127"/>
      <c r="K75" s="127"/>
      <c r="L75" s="127"/>
      <c r="M75" s="127"/>
    </row>
    <row r="76" spans="1:13" s="9" customFormat="1" ht="19.5" customHeight="1" thickBot="1">
      <c r="A76" s="128" t="s">
        <v>0</v>
      </c>
      <c r="B76" s="128" t="s">
        <v>2</v>
      </c>
      <c r="C76" s="124" t="s">
        <v>19</v>
      </c>
      <c r="D76" s="124"/>
      <c r="E76" s="128" t="s">
        <v>1</v>
      </c>
      <c r="F76" s="124" t="s">
        <v>68</v>
      </c>
      <c r="G76" s="124" t="s">
        <v>69</v>
      </c>
      <c r="H76" s="124" t="s">
        <v>70</v>
      </c>
      <c r="I76" s="124" t="s">
        <v>71</v>
      </c>
      <c r="J76" s="124" t="s">
        <v>72</v>
      </c>
      <c r="K76" s="124" t="s">
        <v>73</v>
      </c>
      <c r="L76" s="124" t="s">
        <v>74</v>
      </c>
      <c r="M76" s="124" t="s">
        <v>76</v>
      </c>
    </row>
    <row r="77" spans="1:13" s="9" customFormat="1" ht="18.75" customHeight="1" thickBot="1">
      <c r="A77" s="128"/>
      <c r="B77" s="128"/>
      <c r="C77" s="126"/>
      <c r="D77" s="126"/>
      <c r="E77" s="128"/>
      <c r="F77" s="125"/>
      <c r="G77" s="125"/>
      <c r="H77" s="125"/>
      <c r="I77" s="125"/>
      <c r="J77" s="125"/>
      <c r="K77" s="125"/>
      <c r="L77" s="125"/>
      <c r="M77" s="125"/>
    </row>
    <row r="78" spans="1:13" s="10" customFormat="1" ht="17.25" customHeight="1" thickBot="1">
      <c r="A78" s="128"/>
      <c r="B78" s="128"/>
      <c r="C78" s="8" t="s">
        <v>11</v>
      </c>
      <c r="D78" s="8" t="s">
        <v>12</v>
      </c>
      <c r="E78" s="128"/>
      <c r="F78" s="126"/>
      <c r="G78" s="126"/>
      <c r="H78" s="126"/>
      <c r="I78" s="126"/>
      <c r="J78" s="126"/>
      <c r="K78" s="126"/>
      <c r="L78" s="126"/>
      <c r="M78" s="126"/>
    </row>
    <row r="79" spans="1:13" s="22" customFormat="1" ht="12.75" customHeight="1">
      <c r="A79" s="134" t="s">
        <v>36</v>
      </c>
      <c r="B79" s="134"/>
      <c r="C79" s="134"/>
      <c r="D79" s="134"/>
      <c r="E79" s="134"/>
      <c r="F79" s="134"/>
      <c r="G79" s="134"/>
      <c r="H79" s="134"/>
      <c r="I79" s="134"/>
      <c r="J79" s="134"/>
      <c r="K79" s="134"/>
      <c r="L79" s="134"/>
      <c r="M79" s="134"/>
    </row>
    <row r="80" spans="1:13" s="22" customFormat="1" ht="12.75">
      <c r="A80" s="106" t="s">
        <v>31</v>
      </c>
      <c r="B80" s="24"/>
      <c r="C80" s="25">
        <v>2009</v>
      </c>
      <c r="D80" s="25">
        <v>2011</v>
      </c>
      <c r="E80" s="31">
        <f>SUM(E82:E89)</f>
        <v>3035203.79</v>
      </c>
      <c r="F80" s="31">
        <f aca="true" t="shared" si="13" ref="F80:L80">SUM(F82,F85,F89)</f>
        <v>2957424.07</v>
      </c>
      <c r="G80" s="31">
        <f t="shared" si="13"/>
        <v>0</v>
      </c>
      <c r="H80" s="31">
        <f t="shared" si="13"/>
        <v>0</v>
      </c>
      <c r="I80" s="31">
        <f t="shared" si="13"/>
        <v>0</v>
      </c>
      <c r="J80" s="31">
        <f t="shared" si="13"/>
        <v>0</v>
      </c>
      <c r="K80" s="31">
        <f t="shared" si="13"/>
        <v>0</v>
      </c>
      <c r="L80" s="31">
        <f t="shared" si="13"/>
        <v>0</v>
      </c>
      <c r="M80" s="31">
        <f>SUM(F80)</f>
        <v>2957424.07</v>
      </c>
    </row>
    <row r="81" spans="1:13" s="22" customFormat="1" ht="12.75">
      <c r="A81" s="38"/>
      <c r="B81" s="24"/>
      <c r="C81" s="29"/>
      <c r="D81" s="29"/>
      <c r="E81" s="31"/>
      <c r="F81" s="31"/>
      <c r="G81" s="31"/>
      <c r="H81" s="31"/>
      <c r="I81" s="31"/>
      <c r="J81" s="26"/>
      <c r="K81" s="26"/>
      <c r="L81" s="26"/>
      <c r="M81" s="26"/>
    </row>
    <row r="82" spans="1:13" s="22" customFormat="1" ht="12.75">
      <c r="A82" s="38" t="s">
        <v>48</v>
      </c>
      <c r="B82" s="24" t="s">
        <v>3</v>
      </c>
      <c r="C82" s="25">
        <v>2009</v>
      </c>
      <c r="D82" s="25">
        <v>2011</v>
      </c>
      <c r="E82" s="31">
        <f>3534173-700000-59000-0.4</f>
        <v>2775172.6</v>
      </c>
      <c r="F82" s="31">
        <f>525000+2975000-700000-59000</f>
        <v>2741000</v>
      </c>
      <c r="G82" s="31">
        <v>0</v>
      </c>
      <c r="H82" s="31">
        <v>0</v>
      </c>
      <c r="I82" s="31">
        <v>0</v>
      </c>
      <c r="J82" s="31">
        <v>0</v>
      </c>
      <c r="K82" s="31">
        <v>0</v>
      </c>
      <c r="L82" s="31">
        <v>0</v>
      </c>
      <c r="M82" s="26">
        <f>SUM(F82)</f>
        <v>2741000</v>
      </c>
    </row>
    <row r="83" spans="1:13" s="22" customFormat="1" ht="12.75">
      <c r="A83" s="106"/>
      <c r="B83" s="24" t="s">
        <v>4</v>
      </c>
      <c r="C83" s="29"/>
      <c r="D83" s="29"/>
      <c r="E83" s="31"/>
      <c r="F83" s="31"/>
      <c r="G83" s="31"/>
      <c r="H83" s="31"/>
      <c r="I83" s="31"/>
      <c r="J83" s="26"/>
      <c r="K83" s="26"/>
      <c r="L83" s="26"/>
      <c r="M83" s="26"/>
    </row>
    <row r="84" spans="1:13" s="22" customFormat="1" ht="12.75">
      <c r="A84" s="106"/>
      <c r="B84" s="24"/>
      <c r="C84" s="29"/>
      <c r="D84" s="29"/>
      <c r="E84" s="31"/>
      <c r="F84" s="31"/>
      <c r="G84" s="31"/>
      <c r="H84" s="31"/>
      <c r="I84" s="31"/>
      <c r="J84" s="26"/>
      <c r="K84" s="26"/>
      <c r="L84" s="26"/>
      <c r="M84" s="26"/>
    </row>
    <row r="85" spans="1:13" s="22" customFormat="1" ht="12.75">
      <c r="A85" s="39" t="s">
        <v>120</v>
      </c>
      <c r="B85" s="24" t="s">
        <v>6</v>
      </c>
      <c r="C85" s="24">
        <v>2009</v>
      </c>
      <c r="D85" s="24">
        <v>2011</v>
      </c>
      <c r="E85" s="31">
        <v>171000</v>
      </c>
      <c r="F85" s="31">
        <v>155000</v>
      </c>
      <c r="G85" s="31">
        <v>0</v>
      </c>
      <c r="H85" s="31">
        <v>0</v>
      </c>
      <c r="I85" s="31">
        <v>0</v>
      </c>
      <c r="J85" s="31">
        <v>0</v>
      </c>
      <c r="K85" s="31">
        <v>0</v>
      </c>
      <c r="L85" s="31">
        <v>0</v>
      </c>
      <c r="M85" s="26">
        <f>SUM(F85)</f>
        <v>155000</v>
      </c>
    </row>
    <row r="86" spans="1:13" s="22" customFormat="1" ht="12.75">
      <c r="A86" s="106"/>
      <c r="B86" s="24" t="s">
        <v>7</v>
      </c>
      <c r="C86" s="29"/>
      <c r="D86" s="29"/>
      <c r="E86" s="31"/>
      <c r="F86" s="31"/>
      <c r="G86" s="31"/>
      <c r="H86" s="31"/>
      <c r="I86" s="31"/>
      <c r="J86" s="26"/>
      <c r="K86" s="26"/>
      <c r="L86" s="26"/>
      <c r="M86" s="26"/>
    </row>
    <row r="87" spans="1:13" s="22" customFormat="1" ht="12.75">
      <c r="A87" s="106"/>
      <c r="B87" s="24" t="s">
        <v>8</v>
      </c>
      <c r="C87" s="29"/>
      <c r="D87" s="29"/>
      <c r="E87" s="31"/>
      <c r="F87" s="31"/>
      <c r="G87" s="31"/>
      <c r="H87" s="31"/>
      <c r="I87" s="31"/>
      <c r="J87" s="26"/>
      <c r="K87" s="26"/>
      <c r="L87" s="26"/>
      <c r="M87" s="26"/>
    </row>
    <row r="88" spans="1:13" s="22" customFormat="1" ht="12.75">
      <c r="A88" s="106"/>
      <c r="B88" s="24"/>
      <c r="C88" s="29"/>
      <c r="D88" s="29"/>
      <c r="E88" s="31"/>
      <c r="F88" s="31"/>
      <c r="G88" s="31"/>
      <c r="H88" s="31"/>
      <c r="I88" s="31"/>
      <c r="J88" s="26"/>
      <c r="K88" s="26"/>
      <c r="L88" s="26"/>
      <c r="M88" s="26"/>
    </row>
    <row r="89" spans="1:13" s="22" customFormat="1" ht="12.75">
      <c r="A89" s="38" t="s">
        <v>79</v>
      </c>
      <c r="B89" s="24" t="s">
        <v>44</v>
      </c>
      <c r="C89" s="24">
        <v>2009</v>
      </c>
      <c r="D89" s="24">
        <v>2011</v>
      </c>
      <c r="E89" s="31">
        <f>870000+64165.87-845134.68</f>
        <v>89031.18999999994</v>
      </c>
      <c r="F89" s="31">
        <f>48900+277100+185000+34000-81750-463250+61424.07</f>
        <v>61424.07</v>
      </c>
      <c r="G89" s="31">
        <v>0</v>
      </c>
      <c r="H89" s="31">
        <v>0</v>
      </c>
      <c r="I89" s="31">
        <v>0</v>
      </c>
      <c r="J89" s="31">
        <v>0</v>
      </c>
      <c r="K89" s="31">
        <v>0</v>
      </c>
      <c r="L89" s="31">
        <v>0</v>
      </c>
      <c r="M89" s="26">
        <f>SUM(F89)</f>
        <v>61424.07</v>
      </c>
    </row>
    <row r="90" spans="1:13" s="22" customFormat="1" ht="12.75">
      <c r="A90" s="106"/>
      <c r="B90" s="24" t="s">
        <v>45</v>
      </c>
      <c r="C90" s="29"/>
      <c r="D90" s="29"/>
      <c r="E90" s="31"/>
      <c r="F90" s="31"/>
      <c r="G90" s="31"/>
      <c r="H90" s="31"/>
      <c r="I90" s="31"/>
      <c r="J90" s="26"/>
      <c r="K90" s="26"/>
      <c r="L90" s="26"/>
      <c r="M90" s="26"/>
    </row>
    <row r="91" spans="1:13" s="22" customFormat="1" ht="12.75">
      <c r="A91" s="40"/>
      <c r="B91" s="41" t="s">
        <v>46</v>
      </c>
      <c r="C91" s="108"/>
      <c r="D91" s="108"/>
      <c r="E91" s="33"/>
      <c r="F91" s="33"/>
      <c r="G91" s="33"/>
      <c r="H91" s="33"/>
      <c r="I91" s="33"/>
      <c r="J91" s="42"/>
      <c r="K91" s="42"/>
      <c r="L91" s="42"/>
      <c r="M91" s="42"/>
    </row>
    <row r="92" spans="1:13" s="22" customFormat="1" ht="12.75">
      <c r="A92" s="130" t="s">
        <v>75</v>
      </c>
      <c r="B92" s="130"/>
      <c r="C92" s="130"/>
      <c r="D92" s="130"/>
      <c r="E92" s="31">
        <f>SUM(E95)</f>
        <v>807906</v>
      </c>
      <c r="F92" s="31">
        <f>SUM(F95)</f>
        <v>800000</v>
      </c>
      <c r="G92" s="31">
        <v>0</v>
      </c>
      <c r="H92" s="31">
        <v>0</v>
      </c>
      <c r="I92" s="31">
        <v>0</v>
      </c>
      <c r="J92" s="31">
        <v>0</v>
      </c>
      <c r="K92" s="31">
        <v>0</v>
      </c>
      <c r="L92" s="31">
        <v>0</v>
      </c>
      <c r="M92" s="31">
        <f>SUM(M95)</f>
        <v>800000</v>
      </c>
    </row>
    <row r="93" spans="1:13" s="22" customFormat="1" ht="29.25" customHeight="1">
      <c r="A93" s="139" t="s">
        <v>89</v>
      </c>
      <c r="B93" s="139"/>
      <c r="C93" s="139"/>
      <c r="D93" s="139"/>
      <c r="E93" s="31"/>
      <c r="F93" s="31"/>
      <c r="G93" s="31"/>
      <c r="H93" s="31"/>
      <c r="I93" s="31"/>
      <c r="J93" s="26"/>
      <c r="K93" s="26"/>
      <c r="L93" s="26"/>
      <c r="M93" s="26"/>
    </row>
    <row r="94" spans="1:13" s="22" customFormat="1" ht="12.75" customHeight="1">
      <c r="A94" s="143" t="s">
        <v>37</v>
      </c>
      <c r="B94" s="143"/>
      <c r="C94" s="143"/>
      <c r="D94" s="143"/>
      <c r="E94" s="143"/>
      <c r="F94" s="143"/>
      <c r="G94" s="143"/>
      <c r="H94" s="143"/>
      <c r="I94" s="143"/>
      <c r="J94" s="143"/>
      <c r="K94" s="143"/>
      <c r="L94" s="143"/>
      <c r="M94" s="143"/>
    </row>
    <row r="95" spans="1:13" s="27" customFormat="1" ht="12.75">
      <c r="A95" s="43" t="s">
        <v>47</v>
      </c>
      <c r="B95" s="24" t="s">
        <v>44</v>
      </c>
      <c r="C95" s="44">
        <v>2010</v>
      </c>
      <c r="D95" s="44">
        <v>2011</v>
      </c>
      <c r="E95" s="45">
        <v>807906</v>
      </c>
      <c r="F95" s="45">
        <v>800000</v>
      </c>
      <c r="G95" s="34">
        <v>0</v>
      </c>
      <c r="H95" s="34">
        <v>0</v>
      </c>
      <c r="I95" s="34">
        <v>0</v>
      </c>
      <c r="J95" s="34">
        <v>0</v>
      </c>
      <c r="K95" s="34">
        <v>0</v>
      </c>
      <c r="L95" s="34">
        <v>0</v>
      </c>
      <c r="M95" s="45">
        <f>SUM(F95:L95)</f>
        <v>800000</v>
      </c>
    </row>
    <row r="96" spans="1:13" s="27" customFormat="1" ht="12.75">
      <c r="A96" s="23"/>
      <c r="B96" s="24" t="s">
        <v>45</v>
      </c>
      <c r="C96" s="25"/>
      <c r="D96" s="25"/>
      <c r="E96" s="26"/>
      <c r="F96" s="26"/>
      <c r="G96" s="31"/>
      <c r="H96" s="31"/>
      <c r="I96" s="31"/>
      <c r="J96" s="31"/>
      <c r="K96" s="31"/>
      <c r="L96" s="31"/>
      <c r="M96" s="26"/>
    </row>
    <row r="97" spans="1:13" s="27" customFormat="1" ht="12.75">
      <c r="A97" s="23"/>
      <c r="B97" s="24" t="s">
        <v>46</v>
      </c>
      <c r="C97" s="25"/>
      <c r="D97" s="25"/>
      <c r="E97" s="26"/>
      <c r="F97" s="26"/>
      <c r="G97" s="31"/>
      <c r="H97" s="31"/>
      <c r="I97" s="31"/>
      <c r="J97" s="31"/>
      <c r="K97" s="31"/>
      <c r="L97" s="31"/>
      <c r="M97" s="26"/>
    </row>
    <row r="98" spans="1:13" s="186" customFormat="1" ht="12.75">
      <c r="A98" s="138" t="s">
        <v>17</v>
      </c>
      <c r="B98" s="138"/>
      <c r="C98" s="138"/>
      <c r="D98" s="138"/>
      <c r="E98" s="14">
        <f aca="true" t="shared" si="14" ref="E98:M98">SUM(E101)</f>
        <v>18973300.21</v>
      </c>
      <c r="F98" s="14">
        <f t="shared" si="14"/>
        <v>6559260.649999999</v>
      </c>
      <c r="G98" s="14">
        <f t="shared" si="14"/>
        <v>8415993</v>
      </c>
      <c r="H98" s="14">
        <f t="shared" si="14"/>
        <v>0</v>
      </c>
      <c r="I98" s="14">
        <f t="shared" si="14"/>
        <v>0</v>
      </c>
      <c r="J98" s="14">
        <f t="shared" si="14"/>
        <v>0</v>
      </c>
      <c r="K98" s="14">
        <f t="shared" si="14"/>
        <v>0</v>
      </c>
      <c r="L98" s="14">
        <f t="shared" si="14"/>
        <v>0</v>
      </c>
      <c r="M98" s="14">
        <f t="shared" si="14"/>
        <v>14975253.649999999</v>
      </c>
    </row>
    <row r="99" spans="1:13" s="12" customFormat="1" ht="12.75">
      <c r="A99" s="135" t="s">
        <v>35</v>
      </c>
      <c r="B99" s="135"/>
      <c r="C99" s="135"/>
      <c r="D99" s="135"/>
      <c r="E99" s="33"/>
      <c r="F99" s="35"/>
      <c r="G99" s="36"/>
      <c r="H99" s="36"/>
      <c r="I99" s="36"/>
      <c r="J99" s="37"/>
      <c r="K99" s="37"/>
      <c r="L99" s="37"/>
      <c r="M99" s="37"/>
    </row>
    <row r="100" spans="1:13" s="22" customFormat="1" ht="12.75" customHeight="1">
      <c r="A100" s="134" t="s">
        <v>36</v>
      </c>
      <c r="B100" s="134"/>
      <c r="C100" s="134"/>
      <c r="D100" s="134"/>
      <c r="E100" s="134"/>
      <c r="F100" s="134"/>
      <c r="G100" s="134"/>
      <c r="H100" s="134"/>
      <c r="I100" s="134"/>
      <c r="J100" s="134"/>
      <c r="K100" s="134"/>
      <c r="L100" s="134"/>
      <c r="M100" s="134"/>
    </row>
    <row r="101" spans="1:13" s="27" customFormat="1" ht="12.75">
      <c r="A101" s="43" t="s">
        <v>28</v>
      </c>
      <c r="B101" s="46"/>
      <c r="C101" s="44">
        <v>2009</v>
      </c>
      <c r="D101" s="44">
        <v>2012</v>
      </c>
      <c r="E101" s="45">
        <f aca="true" t="shared" si="15" ref="E101:L101">SUM(E103,E107,E111,E115)</f>
        <v>18973300.21</v>
      </c>
      <c r="F101" s="45">
        <f>SUM(F103,F107,F111,F115)</f>
        <v>6559260.649999999</v>
      </c>
      <c r="G101" s="45">
        <f t="shared" si="15"/>
        <v>8415993</v>
      </c>
      <c r="H101" s="45">
        <f t="shared" si="15"/>
        <v>0</v>
      </c>
      <c r="I101" s="45">
        <f t="shared" si="15"/>
        <v>0</v>
      </c>
      <c r="J101" s="45">
        <f t="shared" si="15"/>
        <v>0</v>
      </c>
      <c r="K101" s="45">
        <f t="shared" si="15"/>
        <v>0</v>
      </c>
      <c r="L101" s="45">
        <f t="shared" si="15"/>
        <v>0</v>
      </c>
      <c r="M101" s="45">
        <f>SUM(F101:G101)</f>
        <v>14975253.649999999</v>
      </c>
    </row>
    <row r="102" spans="1:13" s="27" customFormat="1" ht="12.75">
      <c r="A102" s="23"/>
      <c r="B102" s="24"/>
      <c r="C102" s="25"/>
      <c r="D102" s="25"/>
      <c r="E102" s="26"/>
      <c r="F102" s="26"/>
      <c r="G102" s="26"/>
      <c r="H102" s="26"/>
      <c r="I102" s="26"/>
      <c r="J102" s="26"/>
      <c r="K102" s="26"/>
      <c r="L102" s="26"/>
      <c r="M102" s="26"/>
    </row>
    <row r="103" spans="1:13" s="27" customFormat="1" ht="12.75">
      <c r="A103" s="28" t="s">
        <v>29</v>
      </c>
      <c r="B103" s="24" t="s">
        <v>6</v>
      </c>
      <c r="C103" s="25">
        <v>2009</v>
      </c>
      <c r="D103" s="25">
        <v>2012</v>
      </c>
      <c r="E103" s="26">
        <f>9246816+353002.64-54426.71+1681881.07-345068.44</f>
        <v>10882204.56</v>
      </c>
      <c r="F103" s="26">
        <f>2105000+350002.64-12551.14-38875.57+1400000</f>
        <v>3803575.93</v>
      </c>
      <c r="G103" s="26">
        <f>3322000+281881.07</f>
        <v>3603881.07</v>
      </c>
      <c r="H103" s="26">
        <v>0</v>
      </c>
      <c r="I103" s="26">
        <v>0</v>
      </c>
      <c r="J103" s="26">
        <v>0</v>
      </c>
      <c r="K103" s="26">
        <v>0</v>
      </c>
      <c r="L103" s="26">
        <v>0</v>
      </c>
      <c r="M103" s="26">
        <f>SUM(F103:G103)</f>
        <v>7407457</v>
      </c>
    </row>
    <row r="104" spans="1:13" s="27" customFormat="1" ht="12.75">
      <c r="A104" s="23"/>
      <c r="B104" s="24" t="s">
        <v>7</v>
      </c>
      <c r="C104" s="29"/>
      <c r="D104" s="24"/>
      <c r="E104" s="26"/>
      <c r="F104" s="26"/>
      <c r="G104" s="26"/>
      <c r="H104" s="26"/>
      <c r="I104" s="26"/>
      <c r="J104" s="26"/>
      <c r="K104" s="26"/>
      <c r="L104" s="26"/>
      <c r="M104" s="26"/>
    </row>
    <row r="105" spans="1:13" s="27" customFormat="1" ht="12.75">
      <c r="A105" s="23"/>
      <c r="B105" s="24" t="s">
        <v>8</v>
      </c>
      <c r="C105" s="29"/>
      <c r="D105" s="24"/>
      <c r="E105" s="26"/>
      <c r="F105" s="26"/>
      <c r="G105" s="26"/>
      <c r="H105" s="26"/>
      <c r="I105" s="26"/>
      <c r="J105" s="26"/>
      <c r="K105" s="26"/>
      <c r="L105" s="26"/>
      <c r="M105" s="26"/>
    </row>
    <row r="106" spans="1:13" s="27" customFormat="1" ht="12.75">
      <c r="A106" s="23"/>
      <c r="B106" s="24"/>
      <c r="C106" s="29"/>
      <c r="D106" s="24"/>
      <c r="E106" s="26"/>
      <c r="F106" s="26"/>
      <c r="G106" s="26"/>
      <c r="H106" s="26"/>
      <c r="I106" s="26"/>
      <c r="J106" s="26"/>
      <c r="K106" s="26"/>
      <c r="L106" s="26"/>
      <c r="M106" s="26"/>
    </row>
    <row r="107" spans="1:13" s="27" customFormat="1" ht="12.75">
      <c r="A107" s="47" t="s">
        <v>117</v>
      </c>
      <c r="B107" s="24" t="s">
        <v>44</v>
      </c>
      <c r="C107" s="25">
        <v>2009</v>
      </c>
      <c r="D107" s="25">
        <v>2012</v>
      </c>
      <c r="E107" s="26">
        <f>5161080-1900000</f>
        <v>3261080</v>
      </c>
      <c r="F107" s="26">
        <f>2605000-1900000</f>
        <v>705000</v>
      </c>
      <c r="G107" s="26">
        <v>2479403</v>
      </c>
      <c r="H107" s="26">
        <v>0</v>
      </c>
      <c r="I107" s="26">
        <v>0</v>
      </c>
      <c r="J107" s="26">
        <v>0</v>
      </c>
      <c r="K107" s="26">
        <v>0</v>
      </c>
      <c r="L107" s="26">
        <v>0</v>
      </c>
      <c r="M107" s="26">
        <f>SUM(F107:G107)</f>
        <v>3184403</v>
      </c>
    </row>
    <row r="108" spans="1:13" s="27" customFormat="1" ht="12.75">
      <c r="A108" s="48" t="s">
        <v>118</v>
      </c>
      <c r="B108" s="24" t="s">
        <v>45</v>
      </c>
      <c r="C108" s="29"/>
      <c r="D108" s="24"/>
      <c r="E108" s="26"/>
      <c r="F108" s="26"/>
      <c r="G108" s="26"/>
      <c r="H108" s="26"/>
      <c r="I108" s="26"/>
      <c r="J108" s="26"/>
      <c r="K108" s="26"/>
      <c r="L108" s="26"/>
      <c r="M108" s="26"/>
    </row>
    <row r="109" spans="1:13" s="27" customFormat="1" ht="12.75">
      <c r="A109" s="23"/>
      <c r="B109" s="24" t="s">
        <v>46</v>
      </c>
      <c r="C109" s="29"/>
      <c r="D109" s="24"/>
      <c r="E109" s="26"/>
      <c r="F109" s="26"/>
      <c r="G109" s="26"/>
      <c r="H109" s="26"/>
      <c r="I109" s="26"/>
      <c r="J109" s="26"/>
      <c r="K109" s="26"/>
      <c r="L109" s="26"/>
      <c r="M109" s="26"/>
    </row>
    <row r="110" spans="1:13" s="27" customFormat="1" ht="12.75">
      <c r="A110" s="23"/>
      <c r="B110" s="24"/>
      <c r="C110" s="29"/>
      <c r="D110" s="24"/>
      <c r="E110" s="26"/>
      <c r="F110" s="26"/>
      <c r="G110" s="26"/>
      <c r="H110" s="26"/>
      <c r="I110" s="26"/>
      <c r="J110" s="26"/>
      <c r="K110" s="26"/>
      <c r="L110" s="26"/>
      <c r="M110" s="26"/>
    </row>
    <row r="111" spans="1:13" s="27" customFormat="1" ht="12.75">
      <c r="A111" s="47" t="s">
        <v>119</v>
      </c>
      <c r="B111" s="24" t="s">
        <v>6</v>
      </c>
      <c r="C111" s="25">
        <v>2009</v>
      </c>
      <c r="D111" s="25">
        <v>2012</v>
      </c>
      <c r="E111" s="26">
        <f>4019000-223684.35</f>
        <v>3795315.65</v>
      </c>
      <c r="F111" s="26">
        <f>1000000+58196.72</f>
        <v>1058196.72</v>
      </c>
      <c r="G111" s="26">
        <f>2614590-281881.07</f>
        <v>2332708.93</v>
      </c>
      <c r="H111" s="26">
        <v>0</v>
      </c>
      <c r="I111" s="26">
        <v>0</v>
      </c>
      <c r="J111" s="26">
        <v>0</v>
      </c>
      <c r="K111" s="26">
        <v>0</v>
      </c>
      <c r="L111" s="26">
        <v>0</v>
      </c>
      <c r="M111" s="26">
        <f>SUM(F111:G111)</f>
        <v>3390905.6500000004</v>
      </c>
    </row>
    <row r="112" spans="1:13" s="27" customFormat="1" ht="12.75">
      <c r="A112" s="48"/>
      <c r="B112" s="24" t="s">
        <v>7</v>
      </c>
      <c r="C112" s="29"/>
      <c r="D112" s="25"/>
      <c r="E112" s="26"/>
      <c r="F112" s="26"/>
      <c r="G112" s="26"/>
      <c r="H112" s="26"/>
      <c r="I112" s="26"/>
      <c r="J112" s="26"/>
      <c r="K112" s="26"/>
      <c r="L112" s="26"/>
      <c r="M112" s="26"/>
    </row>
    <row r="113" spans="1:13" s="27" customFormat="1" ht="12.75">
      <c r="A113" s="23"/>
      <c r="B113" s="24" t="s">
        <v>8</v>
      </c>
      <c r="C113" s="29"/>
      <c r="D113" s="25"/>
      <c r="E113" s="26"/>
      <c r="F113" s="26"/>
      <c r="G113" s="26"/>
      <c r="H113" s="26"/>
      <c r="I113" s="26"/>
      <c r="J113" s="26"/>
      <c r="K113" s="26"/>
      <c r="L113" s="26"/>
      <c r="M113" s="26"/>
    </row>
    <row r="114" spans="1:13" s="27" customFormat="1" ht="12.75">
      <c r="A114" s="23"/>
      <c r="B114" s="24"/>
      <c r="C114" s="29"/>
      <c r="D114" s="25"/>
      <c r="E114" s="26"/>
      <c r="F114" s="26"/>
      <c r="G114" s="26"/>
      <c r="H114" s="26"/>
      <c r="I114" s="26"/>
      <c r="J114" s="26"/>
      <c r="K114" s="26"/>
      <c r="L114" s="26"/>
      <c r="M114" s="26"/>
    </row>
    <row r="115" spans="1:13" s="27" customFormat="1" ht="12.75">
      <c r="A115" s="28" t="s">
        <v>30</v>
      </c>
      <c r="B115" s="24" t="s">
        <v>3</v>
      </c>
      <c r="C115" s="25">
        <v>2009</v>
      </c>
      <c r="D115" s="25">
        <v>2011</v>
      </c>
      <c r="E115" s="26">
        <v>1034700</v>
      </c>
      <c r="F115" s="26">
        <v>992488</v>
      </c>
      <c r="G115" s="26">
        <v>0</v>
      </c>
      <c r="H115" s="26">
        <v>0</v>
      </c>
      <c r="I115" s="26">
        <v>0</v>
      </c>
      <c r="J115" s="26">
        <v>0</v>
      </c>
      <c r="K115" s="26">
        <v>0</v>
      </c>
      <c r="L115" s="26">
        <v>0</v>
      </c>
      <c r="M115" s="26">
        <f>SUM(F115:G115)</f>
        <v>992488</v>
      </c>
    </row>
    <row r="116" spans="1:15" s="27" customFormat="1" ht="12.75" customHeight="1">
      <c r="A116" s="148" t="s">
        <v>17</v>
      </c>
      <c r="B116" s="148"/>
      <c r="C116" s="148"/>
      <c r="D116" s="148"/>
      <c r="E116" s="34">
        <f>SUM(E119)</f>
        <v>5742599.3</v>
      </c>
      <c r="F116" s="34">
        <f>SUM(F119)</f>
        <v>3155.42</v>
      </c>
      <c r="G116" s="34">
        <f>SUM(G119)</f>
        <v>5739443.88</v>
      </c>
      <c r="H116" s="34">
        <f>SUM(H119)</f>
        <v>0</v>
      </c>
      <c r="I116" s="34">
        <v>0</v>
      </c>
      <c r="J116" s="34">
        <v>0</v>
      </c>
      <c r="K116" s="34">
        <v>0</v>
      </c>
      <c r="L116" s="34">
        <v>0</v>
      </c>
      <c r="M116" s="34">
        <f>SUM(M119)</f>
        <v>5742599.3</v>
      </c>
      <c r="N116" s="181"/>
      <c r="O116" s="181"/>
    </row>
    <row r="117" spans="1:15" s="27" customFormat="1" ht="12.75">
      <c r="A117" s="182" t="s">
        <v>126</v>
      </c>
      <c r="B117" s="182"/>
      <c r="C117" s="182"/>
      <c r="D117" s="182"/>
      <c r="E117" s="33"/>
      <c r="F117" s="33"/>
      <c r="G117" s="33"/>
      <c r="H117" s="33"/>
      <c r="I117" s="33"/>
      <c r="J117" s="33"/>
      <c r="K117" s="33"/>
      <c r="L117" s="33"/>
      <c r="M117" s="33"/>
      <c r="N117" s="181"/>
      <c r="O117" s="181"/>
    </row>
    <row r="118" spans="1:15" s="27" customFormat="1" ht="12.75">
      <c r="A118" s="143" t="s">
        <v>37</v>
      </c>
      <c r="B118" s="143"/>
      <c r="C118" s="143"/>
      <c r="D118" s="143"/>
      <c r="E118" s="143"/>
      <c r="F118" s="143"/>
      <c r="G118" s="143"/>
      <c r="H118" s="143"/>
      <c r="I118" s="143"/>
      <c r="J118" s="143"/>
      <c r="K118" s="143"/>
      <c r="L118" s="143"/>
      <c r="M118" s="143"/>
      <c r="N118" s="184"/>
      <c r="O118" s="184"/>
    </row>
    <row r="119" spans="1:15" s="27" customFormat="1" ht="12.75">
      <c r="A119" s="112" t="s">
        <v>127</v>
      </c>
      <c r="B119" s="46" t="s">
        <v>44</v>
      </c>
      <c r="C119" s="44">
        <v>2011</v>
      </c>
      <c r="D119" s="44">
        <v>2012</v>
      </c>
      <c r="E119" s="34">
        <v>5742599.3</v>
      </c>
      <c r="F119" s="34">
        <v>3155.42</v>
      </c>
      <c r="G119" s="34">
        <v>5739443.88</v>
      </c>
      <c r="H119" s="34">
        <v>0</v>
      </c>
      <c r="I119" s="34">
        <v>0</v>
      </c>
      <c r="J119" s="34">
        <v>0</v>
      </c>
      <c r="K119" s="34">
        <v>0</v>
      </c>
      <c r="L119" s="34">
        <v>0</v>
      </c>
      <c r="M119" s="26">
        <f>SUM(F119:G119)</f>
        <v>5742599.3</v>
      </c>
      <c r="N119" s="181"/>
      <c r="O119" s="181"/>
    </row>
    <row r="120" spans="1:15" s="27" customFormat="1" ht="12.75">
      <c r="A120" s="32"/>
      <c r="B120" s="24" t="s">
        <v>45</v>
      </c>
      <c r="C120" s="32"/>
      <c r="D120" s="32"/>
      <c r="E120" s="31"/>
      <c r="F120" s="31"/>
      <c r="G120" s="31"/>
      <c r="H120" s="31"/>
      <c r="I120" s="31"/>
      <c r="J120" s="31"/>
      <c r="K120" s="31"/>
      <c r="L120" s="31"/>
      <c r="M120" s="31"/>
      <c r="N120" s="181"/>
      <c r="O120" s="181"/>
    </row>
    <row r="121" spans="1:15" s="27" customFormat="1" ht="12.75">
      <c r="A121" s="185"/>
      <c r="B121" s="41" t="s">
        <v>46</v>
      </c>
      <c r="C121" s="185"/>
      <c r="D121" s="185"/>
      <c r="E121" s="33"/>
      <c r="F121" s="33"/>
      <c r="G121" s="33"/>
      <c r="H121" s="33"/>
      <c r="I121" s="33"/>
      <c r="J121" s="33"/>
      <c r="K121" s="33"/>
      <c r="L121" s="33"/>
      <c r="M121" s="33"/>
      <c r="N121" s="181"/>
      <c r="O121" s="181"/>
    </row>
    <row r="122" spans="1:13" ht="12.75" customHeight="1">
      <c r="A122" s="129" t="s">
        <v>62</v>
      </c>
      <c r="B122" s="129"/>
      <c r="C122" s="129"/>
      <c r="D122" s="129"/>
      <c r="E122" s="90" t="s">
        <v>78</v>
      </c>
      <c r="F122" s="90" t="s">
        <v>78</v>
      </c>
      <c r="G122" s="90" t="s">
        <v>78</v>
      </c>
      <c r="H122" s="90" t="s">
        <v>78</v>
      </c>
      <c r="I122" s="90" t="s">
        <v>78</v>
      </c>
      <c r="J122" s="90" t="s">
        <v>78</v>
      </c>
      <c r="K122" s="90" t="s">
        <v>78</v>
      </c>
      <c r="L122" s="90" t="s">
        <v>78</v>
      </c>
      <c r="M122" s="90" t="s">
        <v>78</v>
      </c>
    </row>
    <row r="123" spans="1:13" ht="12.75">
      <c r="A123" s="136" t="s">
        <v>21</v>
      </c>
      <c r="B123" s="136"/>
      <c r="C123" s="136"/>
      <c r="D123" s="136"/>
      <c r="E123" s="91" t="s">
        <v>78</v>
      </c>
      <c r="F123" s="91" t="s">
        <v>78</v>
      </c>
      <c r="G123" s="91" t="s">
        <v>78</v>
      </c>
      <c r="H123" s="91" t="s">
        <v>78</v>
      </c>
      <c r="I123" s="91" t="s">
        <v>78</v>
      </c>
      <c r="J123" s="91" t="s">
        <v>78</v>
      </c>
      <c r="K123" s="91" t="s">
        <v>78</v>
      </c>
      <c r="L123" s="91" t="s">
        <v>78</v>
      </c>
      <c r="M123" s="91" t="s">
        <v>78</v>
      </c>
    </row>
    <row r="124" spans="1:13" ht="12.75">
      <c r="A124" s="136" t="s">
        <v>22</v>
      </c>
      <c r="B124" s="136"/>
      <c r="C124" s="136"/>
      <c r="D124" s="136"/>
      <c r="E124" s="91" t="s">
        <v>78</v>
      </c>
      <c r="F124" s="91" t="s">
        <v>78</v>
      </c>
      <c r="G124" s="91" t="s">
        <v>78</v>
      </c>
      <c r="H124" s="91" t="s">
        <v>78</v>
      </c>
      <c r="I124" s="91" t="s">
        <v>78</v>
      </c>
      <c r="J124" s="91" t="s">
        <v>78</v>
      </c>
      <c r="K124" s="91" t="s">
        <v>78</v>
      </c>
      <c r="L124" s="91" t="s">
        <v>78</v>
      </c>
      <c r="M124" s="91" t="s">
        <v>78</v>
      </c>
    </row>
    <row r="125" spans="1:13" ht="12.75" customHeight="1">
      <c r="A125" s="129" t="s">
        <v>61</v>
      </c>
      <c r="B125" s="129"/>
      <c r="C125" s="129"/>
      <c r="D125" s="129"/>
      <c r="E125" s="92">
        <f aca="true" t="shared" si="16" ref="E125:M125">SUM(E126,E133)</f>
        <v>299075184.46999997</v>
      </c>
      <c r="F125" s="92">
        <f t="shared" si="16"/>
        <v>47017850.88</v>
      </c>
      <c r="G125" s="92">
        <f>SUM(G126,G133)</f>
        <v>56940591</v>
      </c>
      <c r="H125" s="92">
        <f t="shared" si="16"/>
        <v>31327678</v>
      </c>
      <c r="I125" s="92">
        <f t="shared" si="16"/>
        <v>26701589</v>
      </c>
      <c r="J125" s="92">
        <f t="shared" si="16"/>
        <v>24661726</v>
      </c>
      <c r="K125" s="92">
        <f t="shared" si="16"/>
        <v>26128126</v>
      </c>
      <c r="L125" s="92">
        <f t="shared" si="16"/>
        <v>19309829</v>
      </c>
      <c r="M125" s="92">
        <f t="shared" si="16"/>
        <v>232087389.88</v>
      </c>
    </row>
    <row r="126" spans="1:13" s="12" customFormat="1" ht="12.75" customHeight="1">
      <c r="A126" s="137" t="s">
        <v>21</v>
      </c>
      <c r="B126" s="137"/>
      <c r="C126" s="137"/>
      <c r="D126" s="137"/>
      <c r="E126" s="93">
        <f aca="true" t="shared" si="17" ref="E126:M126">SUM(E127,)</f>
        <v>3089113</v>
      </c>
      <c r="F126" s="93">
        <f t="shared" si="17"/>
        <v>1734377</v>
      </c>
      <c r="G126" s="93">
        <f t="shared" si="17"/>
        <v>0</v>
      </c>
      <c r="H126" s="93">
        <f t="shared" si="17"/>
        <v>0</v>
      </c>
      <c r="I126" s="93">
        <f t="shared" si="17"/>
        <v>0</v>
      </c>
      <c r="J126" s="93">
        <f t="shared" si="17"/>
        <v>0</v>
      </c>
      <c r="K126" s="93">
        <f t="shared" si="17"/>
        <v>0</v>
      </c>
      <c r="L126" s="93">
        <f t="shared" si="17"/>
        <v>0</v>
      </c>
      <c r="M126" s="93">
        <f t="shared" si="17"/>
        <v>1734377</v>
      </c>
    </row>
    <row r="127" spans="1:13" s="22" customFormat="1" ht="12.75" customHeight="1">
      <c r="A127" s="138" t="s">
        <v>32</v>
      </c>
      <c r="B127" s="138"/>
      <c r="C127" s="138"/>
      <c r="D127" s="138"/>
      <c r="E127" s="14">
        <f>SUM(E130,)</f>
        <v>3089113</v>
      </c>
      <c r="F127" s="14">
        <f aca="true" t="shared" si="18" ref="F127:L127">SUM(F130)</f>
        <v>1734377</v>
      </c>
      <c r="G127" s="14">
        <f t="shared" si="18"/>
        <v>0</v>
      </c>
      <c r="H127" s="14">
        <f t="shared" si="18"/>
        <v>0</v>
      </c>
      <c r="I127" s="14">
        <f t="shared" si="18"/>
        <v>0</v>
      </c>
      <c r="J127" s="14">
        <f t="shared" si="18"/>
        <v>0</v>
      </c>
      <c r="K127" s="14">
        <f t="shared" si="18"/>
        <v>0</v>
      </c>
      <c r="L127" s="14">
        <f t="shared" si="18"/>
        <v>0</v>
      </c>
      <c r="M127" s="14">
        <f>SUM(M130,)</f>
        <v>1734377</v>
      </c>
    </row>
    <row r="128" spans="1:13" s="22" customFormat="1" ht="25.5" customHeight="1">
      <c r="A128" s="134" t="s">
        <v>18</v>
      </c>
      <c r="B128" s="134"/>
      <c r="C128" s="134"/>
      <c r="D128" s="134"/>
      <c r="E128" s="50"/>
      <c r="F128" s="50"/>
      <c r="G128" s="50"/>
      <c r="H128" s="50"/>
      <c r="I128" s="50"/>
      <c r="J128" s="50"/>
      <c r="K128" s="50"/>
      <c r="L128" s="50"/>
      <c r="M128" s="50"/>
    </row>
    <row r="129" spans="1:13" s="22" customFormat="1" ht="12.75" customHeight="1">
      <c r="A129" s="139" t="s">
        <v>37</v>
      </c>
      <c r="B129" s="139"/>
      <c r="C129" s="139"/>
      <c r="D129" s="139"/>
      <c r="E129" s="139"/>
      <c r="F129" s="139"/>
      <c r="G129" s="139"/>
      <c r="H129" s="139"/>
      <c r="I129" s="139"/>
      <c r="J129" s="139"/>
      <c r="K129" s="139"/>
      <c r="L129" s="139"/>
      <c r="M129" s="139"/>
    </row>
    <row r="130" spans="1:13" s="22" customFormat="1" ht="12.75" customHeight="1">
      <c r="A130" s="94" t="s">
        <v>122</v>
      </c>
      <c r="B130" s="95" t="s">
        <v>44</v>
      </c>
      <c r="C130" s="96" t="s">
        <v>33</v>
      </c>
      <c r="D130" s="96" t="s">
        <v>34</v>
      </c>
      <c r="E130" s="97">
        <v>3089113</v>
      </c>
      <c r="F130" s="97">
        <f>1314505+419872</f>
        <v>1734377</v>
      </c>
      <c r="G130" s="98" t="s">
        <v>78</v>
      </c>
      <c r="H130" s="98" t="s">
        <v>78</v>
      </c>
      <c r="I130" s="98" t="s">
        <v>78</v>
      </c>
      <c r="J130" s="98" t="s">
        <v>78</v>
      </c>
      <c r="K130" s="98" t="s">
        <v>78</v>
      </c>
      <c r="L130" s="98" t="s">
        <v>78</v>
      </c>
      <c r="M130" s="70">
        <f>SUM(F130:G130)</f>
        <v>1734377</v>
      </c>
    </row>
    <row r="131" spans="1:13" s="22" customFormat="1" ht="12.75" customHeight="1">
      <c r="A131" s="99" t="s">
        <v>121</v>
      </c>
      <c r="B131" s="24" t="s">
        <v>45</v>
      </c>
      <c r="C131" s="99"/>
      <c r="D131" s="99"/>
      <c r="E131" s="99"/>
      <c r="F131" s="99"/>
      <c r="G131" s="99"/>
      <c r="H131" s="99"/>
      <c r="I131" s="99"/>
      <c r="J131" s="99"/>
      <c r="K131" s="99"/>
      <c r="L131" s="99"/>
      <c r="M131" s="99"/>
    </row>
    <row r="132" spans="1:13" s="22" customFormat="1" ht="12.75" customHeight="1">
      <c r="A132" s="100"/>
      <c r="B132" s="101" t="s">
        <v>46</v>
      </c>
      <c r="C132" s="100"/>
      <c r="D132" s="100"/>
      <c r="E132" s="100"/>
      <c r="F132" s="100"/>
      <c r="G132" s="100"/>
      <c r="H132" s="100"/>
      <c r="I132" s="100"/>
      <c r="J132" s="100"/>
      <c r="K132" s="100"/>
      <c r="L132" s="100"/>
      <c r="M132" s="100"/>
    </row>
    <row r="133" spans="1:13" s="12" customFormat="1" ht="12.75" customHeight="1">
      <c r="A133" s="179" t="s">
        <v>22</v>
      </c>
      <c r="B133" s="179"/>
      <c r="C133" s="179"/>
      <c r="D133" s="179"/>
      <c r="E133" s="187">
        <f aca="true" t="shared" si="19" ref="E133:M133">SUM(E134,E172,E178,E200,E216,E228,E234)</f>
        <v>295986071.46999997</v>
      </c>
      <c r="F133" s="187">
        <f t="shared" si="19"/>
        <v>45283473.88</v>
      </c>
      <c r="G133" s="187">
        <f t="shared" si="19"/>
        <v>56940591</v>
      </c>
      <c r="H133" s="187">
        <f t="shared" si="19"/>
        <v>31327678</v>
      </c>
      <c r="I133" s="187">
        <f t="shared" si="19"/>
        <v>26701589</v>
      </c>
      <c r="J133" s="187">
        <f t="shared" si="19"/>
        <v>24661726</v>
      </c>
      <c r="K133" s="187">
        <f t="shared" si="19"/>
        <v>26128126</v>
      </c>
      <c r="L133" s="187">
        <f>SUM(L134,L172,L178,L200,L216,L228,L234)</f>
        <v>19309829</v>
      </c>
      <c r="M133" s="187">
        <f t="shared" si="19"/>
        <v>230353012.88</v>
      </c>
    </row>
    <row r="134" spans="1:13" s="22" customFormat="1" ht="12.75">
      <c r="A134" s="188" t="s">
        <v>52</v>
      </c>
      <c r="B134" s="188"/>
      <c r="C134" s="188"/>
      <c r="D134" s="188"/>
      <c r="E134" s="189">
        <f aca="true" t="shared" si="20" ref="E134:M134">SUM(E137,E141,E144,E152,E160,E163,E170)</f>
        <v>133183490.22999999</v>
      </c>
      <c r="F134" s="189">
        <f t="shared" si="20"/>
        <v>13763336.75</v>
      </c>
      <c r="G134" s="189">
        <f t="shared" si="20"/>
        <v>24564425</v>
      </c>
      <c r="H134" s="189">
        <f t="shared" si="20"/>
        <v>22267963</v>
      </c>
      <c r="I134" s="189">
        <f t="shared" si="20"/>
        <v>12827589</v>
      </c>
      <c r="J134" s="189">
        <f t="shared" si="20"/>
        <v>16161726</v>
      </c>
      <c r="K134" s="189">
        <f t="shared" si="20"/>
        <v>22608931</v>
      </c>
      <c r="L134" s="189">
        <f>SUM(L137,L141,L144,L152,L160,L163,L170)</f>
        <v>16515822</v>
      </c>
      <c r="M134" s="189">
        <f t="shared" si="20"/>
        <v>128709792.75</v>
      </c>
    </row>
    <row r="135" spans="1:13" s="22" customFormat="1" ht="24.75" customHeight="1">
      <c r="A135" s="190" t="s">
        <v>40</v>
      </c>
      <c r="B135" s="190"/>
      <c r="C135" s="190"/>
      <c r="D135" s="190"/>
      <c r="E135" s="191"/>
      <c r="F135" s="191"/>
      <c r="G135" s="191"/>
      <c r="H135" s="191"/>
      <c r="I135" s="191"/>
      <c r="J135" s="72"/>
      <c r="K135" s="72"/>
      <c r="L135" s="72"/>
      <c r="M135" s="72"/>
    </row>
    <row r="136" spans="1:13" s="22" customFormat="1" ht="12.75" customHeight="1">
      <c r="A136" s="139" t="s">
        <v>36</v>
      </c>
      <c r="B136" s="139"/>
      <c r="C136" s="139"/>
      <c r="D136" s="139"/>
      <c r="E136" s="139"/>
      <c r="F136" s="139"/>
      <c r="G136" s="139"/>
      <c r="H136" s="139"/>
      <c r="I136" s="139"/>
      <c r="J136" s="139"/>
      <c r="K136" s="139"/>
      <c r="L136" s="139"/>
      <c r="M136" s="139"/>
    </row>
    <row r="137" spans="1:13" s="27" customFormat="1" ht="12.75">
      <c r="A137" s="68" t="s">
        <v>38</v>
      </c>
      <c r="B137" s="95" t="s">
        <v>44</v>
      </c>
      <c r="C137" s="69">
        <v>2006</v>
      </c>
      <c r="D137" s="69">
        <v>2016</v>
      </c>
      <c r="E137" s="70">
        <f>34000000+1000000+3342411-1600.01-3330000</f>
        <v>35010810.99</v>
      </c>
      <c r="F137" s="70">
        <v>1700000</v>
      </c>
      <c r="G137" s="70">
        <v>0</v>
      </c>
      <c r="H137" s="70">
        <f>1688889</f>
        <v>1688889</v>
      </c>
      <c r="I137" s="70">
        <f>8000000+157589+3342411-3330000</f>
        <v>8170000</v>
      </c>
      <c r="J137" s="70">
        <f>13066152-1688889+399256</f>
        <v>11776519</v>
      </c>
      <c r="K137" s="70">
        <f>10000000+2000000-399256-157589</f>
        <v>11443155</v>
      </c>
      <c r="L137" s="70">
        <v>0</v>
      </c>
      <c r="M137" s="70">
        <f>SUM(F137:L137)</f>
        <v>34778563</v>
      </c>
    </row>
    <row r="138" spans="1:13" s="27" customFormat="1" ht="12.75" customHeight="1">
      <c r="A138" s="28" t="s">
        <v>58</v>
      </c>
      <c r="B138" s="24" t="s">
        <v>45</v>
      </c>
      <c r="C138" s="25"/>
      <c r="D138" s="25"/>
      <c r="E138" s="26"/>
      <c r="F138" s="26"/>
      <c r="G138" s="26"/>
      <c r="H138" s="26"/>
      <c r="I138" s="26"/>
      <c r="J138" s="26"/>
      <c r="K138" s="26"/>
      <c r="L138" s="26"/>
      <c r="M138" s="26"/>
    </row>
    <row r="139" spans="1:13" s="27" customFormat="1" ht="12.75">
      <c r="A139" s="23"/>
      <c r="B139" s="24" t="s">
        <v>46</v>
      </c>
      <c r="C139" s="25"/>
      <c r="D139" s="25"/>
      <c r="E139" s="26"/>
      <c r="F139" s="26"/>
      <c r="G139" s="26"/>
      <c r="H139" s="26"/>
      <c r="I139" s="26"/>
      <c r="J139" s="26"/>
      <c r="K139" s="26"/>
      <c r="L139" s="26"/>
      <c r="M139" s="26"/>
    </row>
    <row r="140" spans="1:13" s="27" customFormat="1" ht="12.75">
      <c r="A140" s="23"/>
      <c r="B140" s="24"/>
      <c r="C140" s="25"/>
      <c r="D140" s="25"/>
      <c r="E140" s="26"/>
      <c r="F140" s="26"/>
      <c r="G140" s="26"/>
      <c r="H140" s="26"/>
      <c r="I140" s="26"/>
      <c r="J140" s="26"/>
      <c r="K140" s="26"/>
      <c r="L140" s="26"/>
      <c r="M140" s="26"/>
    </row>
    <row r="141" spans="1:13" s="27" customFormat="1" ht="12.75">
      <c r="A141" s="43" t="s">
        <v>96</v>
      </c>
      <c r="B141" s="46" t="s">
        <v>3</v>
      </c>
      <c r="C141" s="44">
        <v>2006</v>
      </c>
      <c r="D141" s="44">
        <v>2013</v>
      </c>
      <c r="E141" s="45">
        <f>27507946-185000+185000-11187543.25+700000-173000-4640000</f>
        <v>12207402.75</v>
      </c>
      <c r="F141" s="45">
        <f>2500000-185000+185000+312456.75+700000</f>
        <v>3512456.75</v>
      </c>
      <c r="G141" s="45">
        <v>3000000</v>
      </c>
      <c r="H141" s="45">
        <f>3000000+7000000+227300-4640000</f>
        <v>5587300</v>
      </c>
      <c r="I141" s="45">
        <f>6000000+5500000-11500000</f>
        <v>0</v>
      </c>
      <c r="J141" s="45">
        <v>0</v>
      </c>
      <c r="K141" s="45">
        <v>0</v>
      </c>
      <c r="L141" s="45">
        <v>0</v>
      </c>
      <c r="M141" s="45">
        <f>SUM(F141:L141)</f>
        <v>12099756.75</v>
      </c>
    </row>
    <row r="142" spans="1:13" s="27" customFormat="1" ht="12.75">
      <c r="A142" s="23"/>
      <c r="B142" s="24" t="s">
        <v>4</v>
      </c>
      <c r="C142" s="25"/>
      <c r="D142" s="25"/>
      <c r="E142" s="26"/>
      <c r="F142" s="26"/>
      <c r="G142" s="26"/>
      <c r="H142" s="26"/>
      <c r="I142" s="26"/>
      <c r="J142" s="26"/>
      <c r="K142" s="26"/>
      <c r="L142" s="26"/>
      <c r="M142" s="26"/>
    </row>
    <row r="143" spans="1:13" s="27" customFormat="1" ht="12.75">
      <c r="A143" s="23"/>
      <c r="B143" s="24"/>
      <c r="C143" s="25"/>
      <c r="D143" s="25"/>
      <c r="E143" s="26"/>
      <c r="F143" s="26"/>
      <c r="G143" s="26"/>
      <c r="H143" s="26"/>
      <c r="I143" s="26"/>
      <c r="J143" s="26"/>
      <c r="K143" s="26"/>
      <c r="L143" s="26"/>
      <c r="M143" s="26"/>
    </row>
    <row r="144" spans="1:13" s="27" customFormat="1" ht="12.75">
      <c r="A144" s="43" t="s">
        <v>59</v>
      </c>
      <c r="B144" s="95" t="s">
        <v>44</v>
      </c>
      <c r="C144" s="44">
        <v>2008</v>
      </c>
      <c r="D144" s="44">
        <v>2013</v>
      </c>
      <c r="E144" s="45">
        <f>SUM(E147:E150)</f>
        <v>17427479.92</v>
      </c>
      <c r="F144" s="45">
        <f>SUM(F147)</f>
        <v>8300880</v>
      </c>
      <c r="G144" s="45">
        <f>SUM(G147:G150)</f>
        <v>300000</v>
      </c>
      <c r="H144" s="45">
        <f>SUM(H150)</f>
        <v>7651774</v>
      </c>
      <c r="I144" s="45">
        <v>0</v>
      </c>
      <c r="J144" s="45">
        <v>0</v>
      </c>
      <c r="K144" s="45">
        <v>0</v>
      </c>
      <c r="L144" s="45">
        <v>0</v>
      </c>
      <c r="M144" s="45">
        <f>SUM(F144:L144)</f>
        <v>16252654</v>
      </c>
    </row>
    <row r="145" spans="1:13" s="27" customFormat="1" ht="12.75">
      <c r="A145" s="23" t="s">
        <v>9</v>
      </c>
      <c r="B145" s="24" t="s">
        <v>45</v>
      </c>
      <c r="C145" s="25"/>
      <c r="D145" s="25"/>
      <c r="E145" s="26"/>
      <c r="F145" s="26"/>
      <c r="G145" s="26"/>
      <c r="H145" s="26"/>
      <c r="I145" s="26"/>
      <c r="J145" s="26"/>
      <c r="K145" s="26"/>
      <c r="L145" s="26"/>
      <c r="M145" s="26"/>
    </row>
    <row r="146" spans="1:13" s="27" customFormat="1" ht="12.75">
      <c r="A146" s="23"/>
      <c r="B146" s="24" t="s">
        <v>46</v>
      </c>
      <c r="C146" s="25"/>
      <c r="D146" s="25"/>
      <c r="E146" s="26"/>
      <c r="F146" s="26"/>
      <c r="G146" s="26"/>
      <c r="H146" s="26"/>
      <c r="I146" s="26"/>
      <c r="J146" s="26"/>
      <c r="K146" s="26"/>
      <c r="L146" s="26"/>
      <c r="M146" s="26"/>
    </row>
    <row r="147" spans="1:13" s="27" customFormat="1" ht="12.75">
      <c r="A147" s="23" t="s">
        <v>49</v>
      </c>
      <c r="B147" s="24"/>
      <c r="C147" s="25">
        <v>2008</v>
      </c>
      <c r="D147" s="25">
        <v>2011</v>
      </c>
      <c r="E147" s="26">
        <f>17463035-304000-1400000-4271444.33-1928555.67-83329.08</f>
        <v>9475705.92</v>
      </c>
      <c r="F147" s="26">
        <f>10000000+4880-304000-1400000</f>
        <v>8300880</v>
      </c>
      <c r="G147" s="26">
        <f>17463035-1258155-10004880-4271444.33-1928555.67</f>
        <v>0</v>
      </c>
      <c r="H147" s="26">
        <v>0</v>
      </c>
      <c r="I147" s="26">
        <v>0</v>
      </c>
      <c r="J147" s="26">
        <v>0</v>
      </c>
      <c r="K147" s="26">
        <v>0</v>
      </c>
      <c r="L147" s="26">
        <v>0</v>
      </c>
      <c r="M147" s="26">
        <f>SUM(F147:L147)</f>
        <v>8300880</v>
      </c>
    </row>
    <row r="148" spans="1:13" s="27" customFormat="1" ht="12.75">
      <c r="A148" s="23"/>
      <c r="B148" s="24"/>
      <c r="C148" s="25"/>
      <c r="D148" s="25"/>
      <c r="E148" s="26"/>
      <c r="F148" s="26"/>
      <c r="G148" s="26"/>
      <c r="H148" s="26"/>
      <c r="I148" s="26"/>
      <c r="J148" s="26"/>
      <c r="K148" s="26"/>
      <c r="L148" s="26"/>
      <c r="M148" s="26"/>
    </row>
    <row r="149" spans="1:13" s="27" customFormat="1" ht="12.75">
      <c r="A149" s="23"/>
      <c r="B149" s="24"/>
      <c r="C149" s="25"/>
      <c r="D149" s="25"/>
      <c r="E149" s="26"/>
      <c r="F149" s="26"/>
      <c r="G149" s="26"/>
      <c r="H149" s="26"/>
      <c r="I149" s="26"/>
      <c r="J149" s="26"/>
      <c r="K149" s="26"/>
      <c r="L149" s="26"/>
      <c r="M149" s="26"/>
    </row>
    <row r="150" spans="1:13" s="27" customFormat="1" ht="12.75">
      <c r="A150" s="23" t="s">
        <v>123</v>
      </c>
      <c r="B150" s="24"/>
      <c r="C150" s="25">
        <v>2012</v>
      </c>
      <c r="D150" s="25">
        <v>2013</v>
      </c>
      <c r="E150" s="26">
        <f>12541774-4590000</f>
        <v>7951774</v>
      </c>
      <c r="F150" s="26">
        <v>0</v>
      </c>
      <c r="G150" s="26">
        <f>200000+100000</f>
        <v>300000</v>
      </c>
      <c r="H150" s="26">
        <f>7000000+5341765+9-100000-4590000</f>
        <v>7651774</v>
      </c>
      <c r="I150" s="26">
        <v>0</v>
      </c>
      <c r="J150" s="26">
        <v>0</v>
      </c>
      <c r="K150" s="26">
        <v>0</v>
      </c>
      <c r="L150" s="26">
        <v>0</v>
      </c>
      <c r="M150" s="26">
        <f>SUM(F150:L150)</f>
        <v>7951774</v>
      </c>
    </row>
    <row r="151" spans="1:13" s="27" customFormat="1" ht="12.75">
      <c r="A151" s="23"/>
      <c r="B151" s="24"/>
      <c r="C151" s="25"/>
      <c r="D151" s="25"/>
      <c r="E151" s="26"/>
      <c r="F151" s="26"/>
      <c r="G151" s="26"/>
      <c r="H151" s="26"/>
      <c r="I151" s="26"/>
      <c r="J151" s="26"/>
      <c r="K151" s="26"/>
      <c r="L151" s="26"/>
      <c r="M151" s="26"/>
    </row>
    <row r="152" spans="1:13" s="27" customFormat="1" ht="12.75">
      <c r="A152" s="43" t="s">
        <v>97</v>
      </c>
      <c r="B152" s="46" t="s">
        <v>3</v>
      </c>
      <c r="C152" s="44">
        <v>2008</v>
      </c>
      <c r="D152" s="44">
        <v>2014</v>
      </c>
      <c r="E152" s="45">
        <f>20419902+327589-300000-2740000</f>
        <v>17707491</v>
      </c>
      <c r="F152" s="45">
        <f>200000+80000-280000</f>
        <v>0</v>
      </c>
      <c r="G152" s="45">
        <f>19414425-1050000-300000-2740000</f>
        <v>15324425</v>
      </c>
      <c r="H152" s="45">
        <v>0</v>
      </c>
      <c r="I152" s="45">
        <v>1657589</v>
      </c>
      <c r="J152" s="45">
        <v>0</v>
      </c>
      <c r="K152" s="45">
        <v>0</v>
      </c>
      <c r="L152" s="45">
        <v>0</v>
      </c>
      <c r="M152" s="45">
        <f>SUM(F152:L152)</f>
        <v>16982014</v>
      </c>
    </row>
    <row r="153" spans="1:13" s="27" customFormat="1" ht="12.75">
      <c r="A153" s="23"/>
      <c r="B153" s="24" t="s">
        <v>4</v>
      </c>
      <c r="C153" s="25"/>
      <c r="D153" s="25"/>
      <c r="E153" s="26"/>
      <c r="F153" s="26"/>
      <c r="G153" s="26"/>
      <c r="H153" s="26"/>
      <c r="I153" s="26"/>
      <c r="J153" s="26"/>
      <c r="K153" s="26"/>
      <c r="L153" s="26"/>
      <c r="M153" s="26"/>
    </row>
    <row r="154" spans="1:13" s="27" customFormat="1" ht="12.75">
      <c r="A154" s="23"/>
      <c r="B154" s="24"/>
      <c r="C154" s="25"/>
      <c r="D154" s="25"/>
      <c r="E154" s="26"/>
      <c r="F154" s="26"/>
      <c r="G154" s="26"/>
      <c r="H154" s="26"/>
      <c r="I154" s="26"/>
      <c r="J154" s="26"/>
      <c r="K154" s="26"/>
      <c r="L154" s="26"/>
      <c r="M154" s="26"/>
    </row>
    <row r="155" spans="1:13" s="27" customFormat="1" ht="12.75">
      <c r="A155" s="57"/>
      <c r="B155" s="41"/>
      <c r="C155" s="54"/>
      <c r="D155" s="54"/>
      <c r="E155" s="42"/>
      <c r="F155" s="42"/>
      <c r="G155" s="42"/>
      <c r="H155" s="42"/>
      <c r="I155" s="42"/>
      <c r="J155" s="42"/>
      <c r="K155" s="42"/>
      <c r="L155" s="42"/>
      <c r="M155" s="42"/>
    </row>
    <row r="156" spans="1:13" s="12" customFormat="1" ht="13.5" thickBot="1">
      <c r="A156" s="127" t="s">
        <v>64</v>
      </c>
      <c r="B156" s="127"/>
      <c r="C156" s="127"/>
      <c r="D156" s="127"/>
      <c r="E156" s="127"/>
      <c r="F156" s="127"/>
      <c r="G156" s="127"/>
      <c r="H156" s="127"/>
      <c r="I156" s="127"/>
      <c r="J156" s="127"/>
      <c r="K156" s="127"/>
      <c r="L156" s="127"/>
      <c r="M156" s="127"/>
    </row>
    <row r="157" spans="1:13" s="9" customFormat="1" ht="19.5" customHeight="1">
      <c r="A157" s="124" t="s">
        <v>0</v>
      </c>
      <c r="B157" s="124" t="s">
        <v>2</v>
      </c>
      <c r="C157" s="124" t="s">
        <v>19</v>
      </c>
      <c r="D157" s="124"/>
      <c r="E157" s="124" t="s">
        <v>1</v>
      </c>
      <c r="F157" s="124" t="s">
        <v>68</v>
      </c>
      <c r="G157" s="124" t="s">
        <v>69</v>
      </c>
      <c r="H157" s="124" t="s">
        <v>70</v>
      </c>
      <c r="I157" s="124" t="s">
        <v>71</v>
      </c>
      <c r="J157" s="124" t="s">
        <v>72</v>
      </c>
      <c r="K157" s="124" t="s">
        <v>73</v>
      </c>
      <c r="L157" s="124" t="s">
        <v>74</v>
      </c>
      <c r="M157" s="124" t="s">
        <v>76</v>
      </c>
    </row>
    <row r="158" spans="1:13" s="9" customFormat="1" ht="18.75" customHeight="1" thickBot="1">
      <c r="A158" s="125"/>
      <c r="B158" s="125"/>
      <c r="C158" s="126"/>
      <c r="D158" s="126"/>
      <c r="E158" s="125"/>
      <c r="F158" s="125"/>
      <c r="G158" s="125"/>
      <c r="H158" s="125"/>
      <c r="I158" s="125"/>
      <c r="J158" s="125"/>
      <c r="K158" s="125"/>
      <c r="L158" s="125"/>
      <c r="M158" s="125"/>
    </row>
    <row r="159" spans="1:13" s="10" customFormat="1" ht="17.25" customHeight="1" thickBot="1">
      <c r="A159" s="126"/>
      <c r="B159" s="126"/>
      <c r="C159" s="8" t="s">
        <v>11</v>
      </c>
      <c r="D159" s="8" t="s">
        <v>12</v>
      </c>
      <c r="E159" s="126"/>
      <c r="F159" s="126"/>
      <c r="G159" s="126"/>
      <c r="H159" s="126"/>
      <c r="I159" s="126"/>
      <c r="J159" s="126"/>
      <c r="K159" s="126"/>
      <c r="L159" s="126"/>
      <c r="M159" s="126"/>
    </row>
    <row r="160" spans="1:13" s="27" customFormat="1" ht="12.75">
      <c r="A160" s="43" t="s">
        <v>98</v>
      </c>
      <c r="B160" s="95" t="s">
        <v>44</v>
      </c>
      <c r="C160" s="44">
        <v>2008</v>
      </c>
      <c r="D160" s="44">
        <v>2014</v>
      </c>
      <c r="E160" s="45">
        <f>6907906+6000000-4000000</f>
        <v>8907906</v>
      </c>
      <c r="F160" s="45">
        <v>0</v>
      </c>
      <c r="G160" s="45">
        <v>3200000</v>
      </c>
      <c r="H160" s="45">
        <f>3700000-1000000</f>
        <v>2700000</v>
      </c>
      <c r="I160" s="45">
        <f>6000000-3000000</f>
        <v>3000000</v>
      </c>
      <c r="J160" s="45">
        <v>0</v>
      </c>
      <c r="K160" s="45">
        <v>0</v>
      </c>
      <c r="L160" s="45">
        <v>0</v>
      </c>
      <c r="M160" s="45">
        <f>SUM(F160:L160)</f>
        <v>8900000</v>
      </c>
    </row>
    <row r="161" spans="1:13" s="27" customFormat="1" ht="12.75">
      <c r="A161" s="23" t="s">
        <v>124</v>
      </c>
      <c r="B161" s="24" t="s">
        <v>45</v>
      </c>
      <c r="C161" s="25"/>
      <c r="D161" s="25"/>
      <c r="E161" s="26"/>
      <c r="F161" s="26"/>
      <c r="G161" s="26"/>
      <c r="H161" s="26"/>
      <c r="I161" s="26"/>
      <c r="J161" s="26"/>
      <c r="K161" s="26"/>
      <c r="L161" s="26"/>
      <c r="M161" s="26"/>
    </row>
    <row r="162" spans="1:13" s="27" customFormat="1" ht="12.75">
      <c r="A162" s="23"/>
      <c r="B162" s="24" t="s">
        <v>46</v>
      </c>
      <c r="C162" s="25"/>
      <c r="D162" s="25"/>
      <c r="E162" s="26"/>
      <c r="F162" s="26"/>
      <c r="G162" s="26"/>
      <c r="H162" s="26"/>
      <c r="I162" s="26"/>
      <c r="J162" s="26"/>
      <c r="K162" s="26"/>
      <c r="L162" s="26"/>
      <c r="M162" s="26"/>
    </row>
    <row r="163" spans="1:13" s="27" customFormat="1" ht="12.75">
      <c r="A163" s="43" t="s">
        <v>100</v>
      </c>
      <c r="B163" s="46" t="s">
        <v>3</v>
      </c>
      <c r="C163" s="44">
        <v>2010</v>
      </c>
      <c r="D163" s="44">
        <v>2013</v>
      </c>
      <c r="E163" s="45">
        <f aca="true" t="shared" si="21" ref="E163:M163">SUM(E166:E168)</f>
        <v>9855594.57</v>
      </c>
      <c r="F163" s="45">
        <f t="shared" si="21"/>
        <v>250000</v>
      </c>
      <c r="G163" s="45">
        <f t="shared" si="21"/>
        <v>2740000</v>
      </c>
      <c r="H163" s="45">
        <f t="shared" si="21"/>
        <v>4640000</v>
      </c>
      <c r="I163" s="45">
        <f t="shared" si="21"/>
        <v>0</v>
      </c>
      <c r="J163" s="45">
        <f t="shared" si="21"/>
        <v>0</v>
      </c>
      <c r="K163" s="45">
        <f t="shared" si="21"/>
        <v>0</v>
      </c>
      <c r="L163" s="45">
        <f t="shared" si="21"/>
        <v>0</v>
      </c>
      <c r="M163" s="45">
        <f t="shared" si="21"/>
        <v>7630000</v>
      </c>
    </row>
    <row r="164" spans="1:13" s="27" customFormat="1" ht="12.75">
      <c r="A164" s="23" t="s">
        <v>99</v>
      </c>
      <c r="B164" s="24" t="s">
        <v>4</v>
      </c>
      <c r="C164" s="25"/>
      <c r="D164" s="25"/>
      <c r="E164" s="26"/>
      <c r="F164" s="26"/>
      <c r="G164" s="26"/>
      <c r="H164" s="26"/>
      <c r="I164" s="26"/>
      <c r="J164" s="26"/>
      <c r="K164" s="26"/>
      <c r="L164" s="26"/>
      <c r="M164" s="26"/>
    </row>
    <row r="165" spans="1:13" s="27" customFormat="1" ht="12.75">
      <c r="A165" s="23"/>
      <c r="B165" s="24"/>
      <c r="C165" s="25"/>
      <c r="D165" s="25"/>
      <c r="E165" s="26"/>
      <c r="F165" s="26"/>
      <c r="G165" s="26"/>
      <c r="H165" s="26"/>
      <c r="I165" s="26"/>
      <c r="J165" s="26"/>
      <c r="K165" s="26"/>
      <c r="L165" s="26"/>
      <c r="M165" s="26"/>
    </row>
    <row r="166" spans="1:13" s="27" customFormat="1" ht="12.75">
      <c r="A166" s="28" t="s">
        <v>41</v>
      </c>
      <c r="B166" s="24"/>
      <c r="C166" s="25">
        <v>2010</v>
      </c>
      <c r="D166" s="25">
        <v>2011</v>
      </c>
      <c r="E166" s="26">
        <v>2475594.57</v>
      </c>
      <c r="F166" s="26">
        <v>250000</v>
      </c>
      <c r="G166" s="26">
        <v>0</v>
      </c>
      <c r="H166" s="26">
        <v>0</v>
      </c>
      <c r="I166" s="26">
        <v>0</v>
      </c>
      <c r="J166" s="26">
        <v>0</v>
      </c>
      <c r="K166" s="26">
        <v>0</v>
      </c>
      <c r="L166" s="26">
        <v>0</v>
      </c>
      <c r="M166" s="26">
        <f>SUM(F166:L166)</f>
        <v>250000</v>
      </c>
    </row>
    <row r="167" spans="1:13" s="27" customFormat="1" ht="12.75">
      <c r="A167" s="28"/>
      <c r="B167" s="24"/>
      <c r="C167" s="25"/>
      <c r="D167" s="25"/>
      <c r="E167" s="26"/>
      <c r="F167" s="26"/>
      <c r="G167" s="26"/>
      <c r="H167" s="26"/>
      <c r="I167" s="26"/>
      <c r="J167" s="26"/>
      <c r="K167" s="26"/>
      <c r="L167" s="26"/>
      <c r="M167" s="26"/>
    </row>
    <row r="168" spans="1:13" s="27" customFormat="1" ht="12.75">
      <c r="A168" s="28" t="s">
        <v>93</v>
      </c>
      <c r="B168" s="24"/>
      <c r="C168" s="25">
        <v>2012</v>
      </c>
      <c r="D168" s="25">
        <v>2013</v>
      </c>
      <c r="E168" s="26">
        <v>7380000</v>
      </c>
      <c r="F168" s="26">
        <v>0</v>
      </c>
      <c r="G168" s="26">
        <v>2740000</v>
      </c>
      <c r="H168" s="26">
        <v>4640000</v>
      </c>
      <c r="I168" s="26">
        <v>0</v>
      </c>
      <c r="J168" s="26">
        <v>0</v>
      </c>
      <c r="K168" s="26">
        <v>0</v>
      </c>
      <c r="L168" s="26">
        <v>0</v>
      </c>
      <c r="M168" s="26">
        <f>SUM(F168:L168)</f>
        <v>7380000</v>
      </c>
    </row>
    <row r="169" spans="1:13" s="27" customFormat="1" ht="12.75">
      <c r="A169" s="53"/>
      <c r="B169" s="41"/>
      <c r="C169" s="54"/>
      <c r="D169" s="54"/>
      <c r="E169" s="42"/>
      <c r="F169" s="42"/>
      <c r="G169" s="42"/>
      <c r="H169" s="42"/>
      <c r="I169" s="42"/>
      <c r="J169" s="42"/>
      <c r="K169" s="42"/>
      <c r="L169" s="42"/>
      <c r="M169" s="42"/>
    </row>
    <row r="170" spans="1:13" s="27" customFormat="1" ht="12.75">
      <c r="A170" s="23" t="s">
        <v>101</v>
      </c>
      <c r="B170" s="24" t="s">
        <v>3</v>
      </c>
      <c r="C170" s="25">
        <v>2015</v>
      </c>
      <c r="D170" s="25">
        <v>2017</v>
      </c>
      <c r="E170" s="26">
        <f>33086000-1019195</f>
        <v>32066805</v>
      </c>
      <c r="F170" s="26">
        <v>0</v>
      </c>
      <c r="G170" s="26">
        <v>0</v>
      </c>
      <c r="H170" s="26">
        <v>0</v>
      </c>
      <c r="I170" s="26">
        <v>0</v>
      </c>
      <c r="J170" s="26">
        <f>5100000-214793-500000</f>
        <v>4385207</v>
      </c>
      <c r="K170" s="26">
        <f>11500000+184971-519195</f>
        <v>11165776</v>
      </c>
      <c r="L170" s="26">
        <f>16200793+315029</f>
        <v>16515822</v>
      </c>
      <c r="M170" s="26">
        <f>SUM(F170:L170)</f>
        <v>32066805</v>
      </c>
    </row>
    <row r="171" spans="1:13" s="27" customFormat="1" ht="12.75">
      <c r="A171" s="28"/>
      <c r="B171" s="24" t="s">
        <v>4</v>
      </c>
      <c r="C171" s="25"/>
      <c r="D171" s="25"/>
      <c r="E171" s="26"/>
      <c r="F171" s="26"/>
      <c r="G171" s="26"/>
      <c r="H171" s="26"/>
      <c r="I171" s="26"/>
      <c r="J171" s="26"/>
      <c r="K171" s="26"/>
      <c r="L171" s="26"/>
      <c r="M171" s="26"/>
    </row>
    <row r="172" spans="1:13" s="27" customFormat="1" ht="12.75">
      <c r="A172" s="138" t="s">
        <v>53</v>
      </c>
      <c r="B172" s="138"/>
      <c r="C172" s="138"/>
      <c r="D172" s="138"/>
      <c r="E172" s="55">
        <f aca="true" t="shared" si="22" ref="E172:M172">SUM(E175)</f>
        <v>5994386</v>
      </c>
      <c r="F172" s="55">
        <f t="shared" si="22"/>
        <v>0</v>
      </c>
      <c r="G172" s="55">
        <f t="shared" si="22"/>
        <v>0</v>
      </c>
      <c r="H172" s="55">
        <f t="shared" si="22"/>
        <v>400000</v>
      </c>
      <c r="I172" s="55">
        <f t="shared" si="22"/>
        <v>3544000</v>
      </c>
      <c r="J172" s="55">
        <f t="shared" si="22"/>
        <v>2000000</v>
      </c>
      <c r="K172" s="55">
        <f t="shared" si="22"/>
        <v>0</v>
      </c>
      <c r="L172" s="55">
        <f t="shared" si="22"/>
        <v>0</v>
      </c>
      <c r="M172" s="55">
        <f t="shared" si="22"/>
        <v>5944000</v>
      </c>
    </row>
    <row r="173" spans="1:13" s="27" customFormat="1" ht="12.75">
      <c r="A173" s="135" t="s">
        <v>23</v>
      </c>
      <c r="B173" s="135"/>
      <c r="C173" s="135"/>
      <c r="D173" s="135"/>
      <c r="E173" s="56"/>
      <c r="F173" s="42"/>
      <c r="G173" s="42"/>
      <c r="H173" s="42"/>
      <c r="I173" s="42"/>
      <c r="J173" s="42"/>
      <c r="K173" s="42"/>
      <c r="L173" s="42"/>
      <c r="M173" s="42"/>
    </row>
    <row r="174" spans="1:13" s="22" customFormat="1" ht="12.75" customHeight="1">
      <c r="A174" s="134" t="s">
        <v>37</v>
      </c>
      <c r="B174" s="134"/>
      <c r="C174" s="134"/>
      <c r="D174" s="134"/>
      <c r="E174" s="134"/>
      <c r="F174" s="134"/>
      <c r="G174" s="134"/>
      <c r="H174" s="134"/>
      <c r="I174" s="134"/>
      <c r="J174" s="134"/>
      <c r="K174" s="134"/>
      <c r="L174" s="134"/>
      <c r="M174" s="134"/>
    </row>
    <row r="175" spans="1:13" s="27" customFormat="1" ht="12.75">
      <c r="A175" s="23" t="s">
        <v>102</v>
      </c>
      <c r="B175" s="95" t="s">
        <v>44</v>
      </c>
      <c r="C175" s="25">
        <v>2009</v>
      </c>
      <c r="D175" s="25">
        <v>2015</v>
      </c>
      <c r="E175" s="26">
        <f>6000000-5614</f>
        <v>5994386</v>
      </c>
      <c r="F175" s="26">
        <v>0</v>
      </c>
      <c r="G175" s="26">
        <v>0</v>
      </c>
      <c r="H175" s="26">
        <v>400000</v>
      </c>
      <c r="I175" s="26">
        <v>3544000</v>
      </c>
      <c r="J175" s="26">
        <v>2000000</v>
      </c>
      <c r="K175" s="26">
        <v>0</v>
      </c>
      <c r="L175" s="26">
        <v>0</v>
      </c>
      <c r="M175" s="26">
        <f>SUM(F175:L175)</f>
        <v>5944000</v>
      </c>
    </row>
    <row r="176" spans="1:13" s="27" customFormat="1" ht="12.75">
      <c r="A176" s="23"/>
      <c r="B176" s="24" t="s">
        <v>45</v>
      </c>
      <c r="C176" s="25"/>
      <c r="D176" s="25"/>
      <c r="E176" s="26"/>
      <c r="F176" s="26"/>
      <c r="G176" s="26"/>
      <c r="H176" s="26"/>
      <c r="I176" s="26"/>
      <c r="J176" s="26"/>
      <c r="K176" s="26"/>
      <c r="L176" s="26"/>
      <c r="M176" s="26"/>
    </row>
    <row r="177" spans="1:13" s="27" customFormat="1" ht="13.5" thickBot="1">
      <c r="A177" s="57"/>
      <c r="B177" s="41" t="s">
        <v>46</v>
      </c>
      <c r="C177" s="54"/>
      <c r="D177" s="54"/>
      <c r="E177" s="42"/>
      <c r="F177" s="42"/>
      <c r="G177" s="42"/>
      <c r="H177" s="42"/>
      <c r="I177" s="42"/>
      <c r="J177" s="42"/>
      <c r="K177" s="42"/>
      <c r="L177" s="42"/>
      <c r="M177" s="42"/>
    </row>
    <row r="178" spans="1:13" s="27" customFormat="1" ht="12.75">
      <c r="A178" s="170" t="s">
        <v>54</v>
      </c>
      <c r="B178" s="170"/>
      <c r="C178" s="170"/>
      <c r="D178" s="170"/>
      <c r="E178" s="58">
        <f aca="true" t="shared" si="23" ref="E178:J178">SUM(E181,E185,E188,E191,E194,E197)</f>
        <v>90595862.05</v>
      </c>
      <c r="F178" s="58">
        <f>SUM(F181,F185,F188,F191,F194,F197)</f>
        <v>18233987.130000003</v>
      </c>
      <c r="G178" s="58">
        <f>SUM(G181,G185,G188,G191,G194,G197)</f>
        <v>7668100</v>
      </c>
      <c r="H178" s="58">
        <f t="shared" si="23"/>
        <v>6120000</v>
      </c>
      <c r="I178" s="58">
        <f t="shared" si="23"/>
        <v>8830000</v>
      </c>
      <c r="J178" s="58">
        <f t="shared" si="23"/>
        <v>2000000</v>
      </c>
      <c r="K178" s="58">
        <f>SUM(K181,K185,K188,K191,K194)</f>
        <v>0</v>
      </c>
      <c r="L178" s="58">
        <f>SUM(L181,L185,L188,L191,L194)</f>
        <v>0</v>
      </c>
      <c r="M178" s="58">
        <f>SUM(M181,M185,M188,M191,M194,M197)</f>
        <v>42852087.13</v>
      </c>
    </row>
    <row r="179" spans="1:13" s="27" customFormat="1" ht="12.75">
      <c r="A179" s="135" t="s">
        <v>24</v>
      </c>
      <c r="B179" s="135"/>
      <c r="C179" s="135"/>
      <c r="D179" s="135"/>
      <c r="E179" s="42"/>
      <c r="F179" s="42"/>
      <c r="G179" s="42"/>
      <c r="H179" s="42"/>
      <c r="I179" s="42"/>
      <c r="J179" s="42"/>
      <c r="K179" s="42"/>
      <c r="L179" s="42"/>
      <c r="M179" s="42"/>
    </row>
    <row r="180" spans="1:13" s="22" customFormat="1" ht="12.75" customHeight="1">
      <c r="A180" s="134" t="s">
        <v>36</v>
      </c>
      <c r="B180" s="134"/>
      <c r="C180" s="134"/>
      <c r="D180" s="134"/>
      <c r="E180" s="134"/>
      <c r="F180" s="134"/>
      <c r="G180" s="134"/>
      <c r="H180" s="134"/>
      <c r="I180" s="134"/>
      <c r="J180" s="134"/>
      <c r="K180" s="134"/>
      <c r="L180" s="134"/>
      <c r="M180" s="134"/>
    </row>
    <row r="181" spans="1:13" s="22" customFormat="1" ht="12.75">
      <c r="A181" s="106" t="s">
        <v>103</v>
      </c>
      <c r="B181" s="95" t="s">
        <v>44</v>
      </c>
      <c r="C181" s="25">
        <v>2008</v>
      </c>
      <c r="D181" s="25">
        <v>2011</v>
      </c>
      <c r="E181" s="31">
        <f>11859952+362087.13+126757.41</f>
        <v>12348796.540000001</v>
      </c>
      <c r="F181" s="31">
        <f>8230000+362087.13</f>
        <v>8592087.13</v>
      </c>
      <c r="G181" s="31">
        <v>0</v>
      </c>
      <c r="H181" s="31">
        <v>0</v>
      </c>
      <c r="I181" s="31">
        <v>0</v>
      </c>
      <c r="J181" s="31">
        <v>0</v>
      </c>
      <c r="K181" s="31">
        <v>0</v>
      </c>
      <c r="L181" s="31">
        <v>0</v>
      </c>
      <c r="M181" s="26">
        <f>SUM(F181:L181)</f>
        <v>8592087.13</v>
      </c>
    </row>
    <row r="182" spans="1:13" s="22" customFormat="1" ht="12.75">
      <c r="A182" s="106"/>
      <c r="B182" s="24" t="s">
        <v>45</v>
      </c>
      <c r="C182" s="25"/>
      <c r="D182" s="25"/>
      <c r="E182" s="31"/>
      <c r="F182" s="31"/>
      <c r="G182" s="31"/>
      <c r="H182" s="31"/>
      <c r="I182" s="31"/>
      <c r="J182" s="26"/>
      <c r="K182" s="26"/>
      <c r="L182" s="26"/>
      <c r="M182" s="26"/>
    </row>
    <row r="183" spans="1:13" s="22" customFormat="1" ht="12.75">
      <c r="A183" s="106"/>
      <c r="B183" s="24" t="s">
        <v>46</v>
      </c>
      <c r="C183" s="25"/>
      <c r="D183" s="25"/>
      <c r="E183" s="31"/>
      <c r="F183" s="31"/>
      <c r="G183" s="31"/>
      <c r="H183" s="31"/>
      <c r="I183" s="31"/>
      <c r="J183" s="26"/>
      <c r="K183" s="26"/>
      <c r="L183" s="26"/>
      <c r="M183" s="26"/>
    </row>
    <row r="184" spans="1:13" s="22" customFormat="1" ht="12.75">
      <c r="A184" s="40"/>
      <c r="B184" s="41"/>
      <c r="C184" s="54"/>
      <c r="D184" s="54"/>
      <c r="E184" s="33"/>
      <c r="F184" s="33"/>
      <c r="G184" s="33"/>
      <c r="H184" s="33"/>
      <c r="I184" s="33"/>
      <c r="J184" s="42"/>
      <c r="K184" s="42"/>
      <c r="L184" s="42"/>
      <c r="M184" s="42"/>
    </row>
    <row r="185" spans="1:13" s="22" customFormat="1" ht="12.75">
      <c r="A185" s="112" t="s">
        <v>42</v>
      </c>
      <c r="B185" s="95" t="s">
        <v>44</v>
      </c>
      <c r="C185" s="44">
        <v>1979</v>
      </c>
      <c r="D185" s="44">
        <v>2014</v>
      </c>
      <c r="E185" s="31">
        <f>61710384-600000-17303.49+5126145</f>
        <v>66219225.51</v>
      </c>
      <c r="F185" s="31">
        <f>6000000-600000+2391900</f>
        <v>7791900</v>
      </c>
      <c r="G185" s="31">
        <f>11793855-9185755</f>
        <v>2608100</v>
      </c>
      <c r="H185" s="31">
        <v>5590000</v>
      </c>
      <c r="I185" s="31">
        <v>6330000</v>
      </c>
      <c r="J185" s="31">
        <v>0</v>
      </c>
      <c r="K185" s="31">
        <v>0</v>
      </c>
      <c r="L185" s="31">
        <v>0</v>
      </c>
      <c r="M185" s="26">
        <f>SUM(F185:L185)</f>
        <v>22320000</v>
      </c>
    </row>
    <row r="186" spans="1:13" s="22" customFormat="1" ht="12.75">
      <c r="A186" s="106"/>
      <c r="B186" s="24" t="s">
        <v>45</v>
      </c>
      <c r="C186" s="25"/>
      <c r="D186" s="25"/>
      <c r="E186" s="31"/>
      <c r="F186" s="31"/>
      <c r="G186" s="31"/>
      <c r="H186" s="31"/>
      <c r="I186" s="31"/>
      <c r="J186" s="26"/>
      <c r="K186" s="26"/>
      <c r="L186" s="26"/>
      <c r="M186" s="26"/>
    </row>
    <row r="187" spans="1:13" s="22" customFormat="1" ht="12.75">
      <c r="A187" s="106"/>
      <c r="B187" s="24" t="s">
        <v>46</v>
      </c>
      <c r="C187" s="25"/>
      <c r="D187" s="25"/>
      <c r="E187" s="31"/>
      <c r="F187" s="31"/>
      <c r="G187" s="31"/>
      <c r="H187" s="31"/>
      <c r="I187" s="31"/>
      <c r="J187" s="26"/>
      <c r="K187" s="26"/>
      <c r="L187" s="26"/>
      <c r="M187" s="26"/>
    </row>
    <row r="188" spans="1:13" s="22" customFormat="1" ht="12.75">
      <c r="A188" s="112" t="s">
        <v>43</v>
      </c>
      <c r="B188" s="95" t="s">
        <v>44</v>
      </c>
      <c r="C188" s="44">
        <v>2008</v>
      </c>
      <c r="D188" s="44">
        <v>2015</v>
      </c>
      <c r="E188" s="34">
        <f>5747636-24700</f>
        <v>5722936</v>
      </c>
      <c r="F188" s="34">
        <v>1200000</v>
      </c>
      <c r="G188" s="34">
        <v>0</v>
      </c>
      <c r="H188" s="34">
        <v>0</v>
      </c>
      <c r="I188" s="34">
        <f>2500000</f>
        <v>2500000</v>
      </c>
      <c r="J188" s="45">
        <f>2000000</f>
        <v>2000000</v>
      </c>
      <c r="K188" s="34">
        <v>0</v>
      </c>
      <c r="L188" s="34">
        <v>0</v>
      </c>
      <c r="M188" s="45">
        <f>SUM(F188:L188)</f>
        <v>5700000</v>
      </c>
    </row>
    <row r="189" spans="1:13" s="22" customFormat="1" ht="12.75">
      <c r="A189" s="106"/>
      <c r="B189" s="24" t="s">
        <v>45</v>
      </c>
      <c r="C189" s="25"/>
      <c r="D189" s="25"/>
      <c r="E189" s="31"/>
      <c r="F189" s="31"/>
      <c r="G189" s="31"/>
      <c r="H189" s="31"/>
      <c r="I189" s="31"/>
      <c r="J189" s="26"/>
      <c r="K189" s="26"/>
      <c r="L189" s="26"/>
      <c r="M189" s="26"/>
    </row>
    <row r="190" spans="1:13" s="22" customFormat="1" ht="12.75">
      <c r="A190" s="192"/>
      <c r="B190" s="24" t="s">
        <v>46</v>
      </c>
      <c r="C190" s="25"/>
      <c r="D190" s="25"/>
      <c r="E190" s="31"/>
      <c r="F190" s="31"/>
      <c r="G190" s="31"/>
      <c r="H190" s="31"/>
      <c r="I190" s="31"/>
      <c r="J190" s="26"/>
      <c r="K190" s="26"/>
      <c r="L190" s="26"/>
      <c r="M190" s="26"/>
    </row>
    <row r="191" spans="1:13" s="22" customFormat="1" ht="12.75">
      <c r="A191" s="112" t="s">
        <v>104</v>
      </c>
      <c r="B191" s="95" t="s">
        <v>44</v>
      </c>
      <c r="C191" s="44">
        <v>2010</v>
      </c>
      <c r="D191" s="44">
        <v>2012</v>
      </c>
      <c r="E191" s="59">
        <f>4000000-4000000</f>
        <v>0</v>
      </c>
      <c r="F191" s="59">
        <f>400000-400000</f>
        <v>0</v>
      </c>
      <c r="G191" s="59">
        <f>3170000-3170000</f>
        <v>0</v>
      </c>
      <c r="H191" s="34">
        <v>0</v>
      </c>
      <c r="I191" s="34">
        <v>0</v>
      </c>
      <c r="J191" s="34">
        <v>0</v>
      </c>
      <c r="K191" s="34">
        <v>0</v>
      </c>
      <c r="L191" s="34">
        <v>0</v>
      </c>
      <c r="M191" s="45">
        <f>SUM(F191:L191)</f>
        <v>0</v>
      </c>
    </row>
    <row r="192" spans="1:13" s="22" customFormat="1" ht="12.75">
      <c r="A192" s="106"/>
      <c r="B192" s="24" t="s">
        <v>45</v>
      </c>
      <c r="C192" s="25"/>
      <c r="D192" s="25"/>
      <c r="E192" s="31"/>
      <c r="F192" s="31"/>
      <c r="G192" s="31"/>
      <c r="H192" s="31"/>
      <c r="I192" s="31"/>
      <c r="J192" s="26"/>
      <c r="K192" s="26"/>
      <c r="L192" s="26"/>
      <c r="M192" s="26"/>
    </row>
    <row r="193" spans="1:13" s="22" customFormat="1" ht="12.75">
      <c r="A193" s="106"/>
      <c r="B193" s="24" t="s">
        <v>46</v>
      </c>
      <c r="C193" s="25"/>
      <c r="D193" s="25"/>
      <c r="E193" s="31"/>
      <c r="F193" s="31"/>
      <c r="G193" s="31"/>
      <c r="H193" s="31"/>
      <c r="I193" s="31"/>
      <c r="J193" s="26"/>
      <c r="K193" s="26"/>
      <c r="L193" s="26"/>
      <c r="M193" s="26"/>
    </row>
    <row r="194" spans="1:13" s="22" customFormat="1" ht="12.75">
      <c r="A194" s="112" t="s">
        <v>105</v>
      </c>
      <c r="B194" s="95" t="s">
        <v>44</v>
      </c>
      <c r="C194" s="44">
        <v>2009</v>
      </c>
      <c r="D194" s="44">
        <v>2012</v>
      </c>
      <c r="E194" s="34">
        <f>4805000-96</f>
        <v>4804904</v>
      </c>
      <c r="F194" s="34">
        <v>200000</v>
      </c>
      <c r="G194" s="34">
        <v>4540000</v>
      </c>
      <c r="H194" s="34">
        <v>0</v>
      </c>
      <c r="I194" s="34">
        <v>0</v>
      </c>
      <c r="J194" s="34">
        <v>0</v>
      </c>
      <c r="K194" s="34">
        <v>0</v>
      </c>
      <c r="L194" s="34">
        <v>0</v>
      </c>
      <c r="M194" s="45">
        <f>SUM(F194:L194)</f>
        <v>4740000</v>
      </c>
    </row>
    <row r="195" spans="1:13" s="22" customFormat="1" ht="12.75">
      <c r="A195" s="106"/>
      <c r="B195" s="24" t="s">
        <v>45</v>
      </c>
      <c r="C195" s="25"/>
      <c r="D195" s="25"/>
      <c r="E195" s="31"/>
      <c r="F195" s="31"/>
      <c r="G195" s="31"/>
      <c r="H195" s="31"/>
      <c r="I195" s="31"/>
      <c r="J195" s="26"/>
      <c r="K195" s="26"/>
      <c r="L195" s="26"/>
      <c r="M195" s="26"/>
    </row>
    <row r="196" spans="1:13" s="22" customFormat="1" ht="12.75">
      <c r="A196" s="106"/>
      <c r="B196" s="24" t="s">
        <v>46</v>
      </c>
      <c r="C196" s="25"/>
      <c r="D196" s="25"/>
      <c r="E196" s="31"/>
      <c r="F196" s="31"/>
      <c r="G196" s="31"/>
      <c r="H196" s="31"/>
      <c r="I196" s="31"/>
      <c r="J196" s="26"/>
      <c r="K196" s="26"/>
      <c r="L196" s="26"/>
      <c r="M196" s="26"/>
    </row>
    <row r="197" spans="1:13" s="22" customFormat="1" ht="12.75">
      <c r="A197" s="112" t="s">
        <v>84</v>
      </c>
      <c r="B197" s="95" t="s">
        <v>44</v>
      </c>
      <c r="C197" s="44">
        <v>2011</v>
      </c>
      <c r="D197" s="44">
        <v>2013</v>
      </c>
      <c r="E197" s="34">
        <v>1500000</v>
      </c>
      <c r="F197" s="34">
        <v>450000</v>
      </c>
      <c r="G197" s="34">
        <v>520000</v>
      </c>
      <c r="H197" s="34">
        <v>530000</v>
      </c>
      <c r="I197" s="34">
        <v>0</v>
      </c>
      <c r="J197" s="34">
        <v>0</v>
      </c>
      <c r="K197" s="34">
        <v>0</v>
      </c>
      <c r="L197" s="34">
        <v>0</v>
      </c>
      <c r="M197" s="45">
        <f>SUM(F197:L197)</f>
        <v>1500000</v>
      </c>
    </row>
    <row r="198" spans="1:13" s="22" customFormat="1" ht="12.75">
      <c r="A198" s="106"/>
      <c r="B198" s="24" t="s">
        <v>45</v>
      </c>
      <c r="C198" s="25"/>
      <c r="D198" s="25"/>
      <c r="E198" s="31"/>
      <c r="F198" s="31"/>
      <c r="G198" s="31"/>
      <c r="H198" s="31"/>
      <c r="I198" s="31"/>
      <c r="J198" s="26"/>
      <c r="K198" s="26"/>
      <c r="L198" s="26"/>
      <c r="M198" s="26"/>
    </row>
    <row r="199" spans="1:13" s="22" customFormat="1" ht="12.75">
      <c r="A199" s="105"/>
      <c r="B199" s="24" t="s">
        <v>46</v>
      </c>
      <c r="C199" s="54"/>
      <c r="D199" s="54"/>
      <c r="E199" s="33"/>
      <c r="F199" s="33"/>
      <c r="G199" s="33"/>
      <c r="H199" s="33"/>
      <c r="I199" s="33"/>
      <c r="J199" s="42"/>
      <c r="K199" s="42"/>
      <c r="L199" s="42"/>
      <c r="M199" s="42"/>
    </row>
    <row r="200" spans="1:13" s="22" customFormat="1" ht="12.75">
      <c r="A200" s="138" t="s">
        <v>55</v>
      </c>
      <c r="B200" s="138"/>
      <c r="C200" s="138"/>
      <c r="D200" s="138"/>
      <c r="E200" s="55">
        <f>SUM(E203,E207,E210,E213)</f>
        <v>48395912.19</v>
      </c>
      <c r="F200" s="55">
        <f aca="true" t="shared" si="24" ref="F200:M200">SUM(F203,F207,F210,F213)</f>
        <v>12755000</v>
      </c>
      <c r="G200" s="55">
        <f t="shared" si="24"/>
        <v>12832866</v>
      </c>
      <c r="H200" s="55">
        <f t="shared" si="24"/>
        <v>1200000</v>
      </c>
      <c r="I200" s="55">
        <f t="shared" si="24"/>
        <v>1000000</v>
      </c>
      <c r="J200" s="55">
        <f t="shared" si="24"/>
        <v>4000000</v>
      </c>
      <c r="K200" s="55">
        <f t="shared" si="24"/>
        <v>3000000</v>
      </c>
      <c r="L200" s="55">
        <f t="shared" si="24"/>
        <v>2794007</v>
      </c>
      <c r="M200" s="55">
        <f t="shared" si="24"/>
        <v>37581873</v>
      </c>
    </row>
    <row r="201" spans="1:13" s="22" customFormat="1" ht="26.25" customHeight="1">
      <c r="A201" s="134" t="s">
        <v>67</v>
      </c>
      <c r="B201" s="134"/>
      <c r="C201" s="134"/>
      <c r="D201" s="134"/>
      <c r="E201" s="56"/>
      <c r="F201" s="56"/>
      <c r="G201" s="56"/>
      <c r="H201" s="56"/>
      <c r="I201" s="56"/>
      <c r="J201" s="42"/>
      <c r="K201" s="42"/>
      <c r="L201" s="42"/>
      <c r="M201" s="42"/>
    </row>
    <row r="202" spans="1:13" s="22" customFormat="1" ht="12.75" customHeight="1">
      <c r="A202" s="139" t="s">
        <v>36</v>
      </c>
      <c r="B202" s="139"/>
      <c r="C202" s="139"/>
      <c r="D202" s="139"/>
      <c r="E202" s="139"/>
      <c r="F202" s="139"/>
      <c r="G202" s="139"/>
      <c r="H202" s="139"/>
      <c r="I202" s="139"/>
      <c r="J202" s="139"/>
      <c r="K202" s="139"/>
      <c r="L202" s="139"/>
      <c r="M202" s="139"/>
    </row>
    <row r="203" spans="1:13" s="22" customFormat="1" ht="12.75">
      <c r="A203" s="112" t="s">
        <v>107</v>
      </c>
      <c r="B203" s="95" t="s">
        <v>44</v>
      </c>
      <c r="C203" s="44">
        <v>2004</v>
      </c>
      <c r="D203" s="44">
        <v>2012</v>
      </c>
      <c r="E203" s="34">
        <f>22658600+800000+200000+1578555.67+1449612.7</f>
        <v>26686768.37</v>
      </c>
      <c r="F203" s="34">
        <f>9800000+800000-250000</f>
        <v>10350000</v>
      </c>
      <c r="G203" s="34">
        <f>5112866+4271444.33+1828555.67</f>
        <v>11212866</v>
      </c>
      <c r="H203" s="34">
        <v>0</v>
      </c>
      <c r="I203" s="34">
        <v>0</v>
      </c>
      <c r="J203" s="34">
        <v>0</v>
      </c>
      <c r="K203" s="34">
        <v>0</v>
      </c>
      <c r="L203" s="34">
        <v>0</v>
      </c>
      <c r="M203" s="45">
        <f>SUM(F203:L203)</f>
        <v>21562866</v>
      </c>
    </row>
    <row r="204" spans="1:13" s="22" customFormat="1" ht="12.75">
      <c r="A204" s="106" t="s">
        <v>106</v>
      </c>
      <c r="B204" s="24" t="s">
        <v>45</v>
      </c>
      <c r="C204" s="25"/>
      <c r="D204" s="25"/>
      <c r="E204" s="31"/>
      <c r="F204" s="31"/>
      <c r="G204" s="31"/>
      <c r="H204" s="31"/>
      <c r="I204" s="31"/>
      <c r="J204" s="26"/>
      <c r="K204" s="26"/>
      <c r="L204" s="26"/>
      <c r="M204" s="26"/>
    </row>
    <row r="205" spans="1:13" s="22" customFormat="1" ht="12.75">
      <c r="A205" s="106"/>
      <c r="B205" s="24" t="s">
        <v>46</v>
      </c>
      <c r="C205" s="25"/>
      <c r="D205" s="25"/>
      <c r="E205" s="31"/>
      <c r="F205" s="31"/>
      <c r="G205" s="31"/>
      <c r="H205" s="31"/>
      <c r="I205" s="31"/>
      <c r="J205" s="26"/>
      <c r="K205" s="26"/>
      <c r="L205" s="26"/>
      <c r="M205" s="26"/>
    </row>
    <row r="206" spans="1:13" s="22" customFormat="1" ht="12.75">
      <c r="A206" s="106"/>
      <c r="B206" s="24"/>
      <c r="C206" s="25"/>
      <c r="D206" s="25"/>
      <c r="E206" s="31"/>
      <c r="F206" s="31"/>
      <c r="G206" s="31"/>
      <c r="H206" s="31"/>
      <c r="I206" s="31"/>
      <c r="J206" s="26"/>
      <c r="K206" s="26"/>
      <c r="L206" s="26"/>
      <c r="M206" s="26"/>
    </row>
    <row r="207" spans="1:13" s="22" customFormat="1" ht="12.75">
      <c r="A207" s="112" t="s">
        <v>109</v>
      </c>
      <c r="B207" s="95" t="s">
        <v>44</v>
      </c>
      <c r="C207" s="44">
        <v>2008</v>
      </c>
      <c r="D207" s="44">
        <v>2017</v>
      </c>
      <c r="E207" s="34">
        <f>19804562+400000-550918.18</f>
        <v>19653643.82</v>
      </c>
      <c r="F207" s="34">
        <f>1000000+400000</f>
        <v>1400000</v>
      </c>
      <c r="G207" s="34">
        <v>1200000</v>
      </c>
      <c r="H207" s="34">
        <v>1200000</v>
      </c>
      <c r="I207" s="34">
        <v>1000000</v>
      </c>
      <c r="J207" s="45">
        <v>4000000</v>
      </c>
      <c r="K207" s="45">
        <v>3000000</v>
      </c>
      <c r="L207" s="45">
        <v>2794007</v>
      </c>
      <c r="M207" s="45">
        <f>SUM(F207:L207)</f>
        <v>14594007</v>
      </c>
    </row>
    <row r="208" spans="1:13" s="22" customFormat="1" ht="12.75">
      <c r="A208" s="38" t="s">
        <v>108</v>
      </c>
      <c r="B208" s="24" t="s">
        <v>45</v>
      </c>
      <c r="C208" s="25"/>
      <c r="D208" s="25"/>
      <c r="E208" s="31"/>
      <c r="F208" s="31"/>
      <c r="G208" s="31"/>
      <c r="H208" s="31"/>
      <c r="I208" s="31"/>
      <c r="J208" s="26"/>
      <c r="K208" s="26"/>
      <c r="L208" s="26"/>
      <c r="M208" s="26"/>
    </row>
    <row r="209" spans="1:13" s="22" customFormat="1" ht="12.75">
      <c r="A209" s="60"/>
      <c r="B209" s="41" t="s">
        <v>46</v>
      </c>
      <c r="C209" s="54"/>
      <c r="D209" s="54"/>
      <c r="E209" s="33"/>
      <c r="F209" s="33"/>
      <c r="G209" s="33"/>
      <c r="H209" s="33"/>
      <c r="I209" s="33"/>
      <c r="J209" s="42"/>
      <c r="K209" s="42"/>
      <c r="L209" s="42"/>
      <c r="M209" s="42"/>
    </row>
    <row r="210" spans="1:13" s="22" customFormat="1" ht="12.75">
      <c r="A210" s="29" t="s">
        <v>110</v>
      </c>
      <c r="B210" s="95" t="s">
        <v>44</v>
      </c>
      <c r="C210" s="25">
        <v>2010</v>
      </c>
      <c r="D210" s="25">
        <v>2012</v>
      </c>
      <c r="E210" s="31">
        <v>1720000</v>
      </c>
      <c r="F210" s="31">
        <v>1000000</v>
      </c>
      <c r="G210" s="31">
        <v>120000</v>
      </c>
      <c r="H210" s="34">
        <v>0</v>
      </c>
      <c r="I210" s="34">
        <v>0</v>
      </c>
      <c r="J210" s="34">
        <v>0</v>
      </c>
      <c r="K210" s="34">
        <v>0</v>
      </c>
      <c r="L210" s="34">
        <v>0</v>
      </c>
      <c r="M210" s="45">
        <f>SUM(F210:L210)</f>
        <v>1120000</v>
      </c>
    </row>
    <row r="211" spans="1:13" s="22" customFormat="1" ht="12.75">
      <c r="A211" s="29" t="s">
        <v>111</v>
      </c>
      <c r="B211" s="24" t="s">
        <v>45</v>
      </c>
      <c r="C211" s="25"/>
      <c r="D211" s="25"/>
      <c r="E211" s="31"/>
      <c r="F211" s="31"/>
      <c r="G211" s="31"/>
      <c r="H211" s="31"/>
      <c r="I211" s="31"/>
      <c r="J211" s="26"/>
      <c r="K211" s="26"/>
      <c r="L211" s="26"/>
      <c r="M211" s="26"/>
    </row>
    <row r="212" spans="1:13" s="22" customFormat="1" ht="12.75">
      <c r="A212" s="29" t="s">
        <v>125</v>
      </c>
      <c r="B212" s="24" t="s">
        <v>46</v>
      </c>
      <c r="C212" s="25"/>
      <c r="D212" s="25"/>
      <c r="E212" s="31"/>
      <c r="F212" s="31"/>
      <c r="G212" s="31"/>
      <c r="H212" s="31"/>
      <c r="I212" s="31"/>
      <c r="J212" s="26"/>
      <c r="K212" s="26"/>
      <c r="L212" s="26"/>
      <c r="M212" s="26"/>
    </row>
    <row r="213" spans="1:13" s="22" customFormat="1" ht="12.75">
      <c r="A213" s="107" t="s">
        <v>91</v>
      </c>
      <c r="B213" s="95" t="s">
        <v>44</v>
      </c>
      <c r="C213" s="44">
        <v>2009</v>
      </c>
      <c r="D213" s="44">
        <v>2012</v>
      </c>
      <c r="E213" s="34">
        <v>335500</v>
      </c>
      <c r="F213" s="34">
        <v>5000</v>
      </c>
      <c r="G213" s="34">
        <v>300000</v>
      </c>
      <c r="H213" s="34">
        <v>0</v>
      </c>
      <c r="I213" s="34">
        <v>0</v>
      </c>
      <c r="J213" s="34">
        <v>0</v>
      </c>
      <c r="K213" s="34">
        <v>0</v>
      </c>
      <c r="L213" s="34">
        <v>0</v>
      </c>
      <c r="M213" s="45">
        <f>SUM(F213:L213)</f>
        <v>305000</v>
      </c>
    </row>
    <row r="214" spans="1:13" s="22" customFormat="1" ht="12.75">
      <c r="A214" s="29"/>
      <c r="B214" s="24" t="s">
        <v>45</v>
      </c>
      <c r="C214" s="25"/>
      <c r="D214" s="25"/>
      <c r="E214" s="31"/>
      <c r="F214" s="31"/>
      <c r="G214" s="31"/>
      <c r="H214" s="31"/>
      <c r="I214" s="31"/>
      <c r="J214" s="26"/>
      <c r="K214" s="26"/>
      <c r="L214" s="26"/>
      <c r="M214" s="26"/>
    </row>
    <row r="215" spans="1:13" s="22" customFormat="1" ht="12.75">
      <c r="A215" s="29"/>
      <c r="B215" s="24" t="s">
        <v>46</v>
      </c>
      <c r="C215" s="25"/>
      <c r="D215" s="25"/>
      <c r="E215" s="31"/>
      <c r="F215" s="31"/>
      <c r="G215" s="31"/>
      <c r="H215" s="31"/>
      <c r="I215" s="31"/>
      <c r="J215" s="26"/>
      <c r="K215" s="26"/>
      <c r="L215" s="26"/>
      <c r="M215" s="26"/>
    </row>
    <row r="216" spans="1:13" s="22" customFormat="1" ht="12.75">
      <c r="A216" s="138" t="s">
        <v>56</v>
      </c>
      <c r="B216" s="138"/>
      <c r="C216" s="138"/>
      <c r="D216" s="138"/>
      <c r="E216" s="55">
        <f aca="true" t="shared" si="25" ref="E216:M216">SUM(E219,E225)</f>
        <v>8831672</v>
      </c>
      <c r="F216" s="55">
        <f t="shared" si="25"/>
        <v>322000</v>
      </c>
      <c r="G216" s="55">
        <f t="shared" si="25"/>
        <v>4245200</v>
      </c>
      <c r="H216" s="55">
        <f t="shared" si="25"/>
        <v>700000</v>
      </c>
      <c r="I216" s="55">
        <f t="shared" si="25"/>
        <v>500000</v>
      </c>
      <c r="J216" s="55">
        <f t="shared" si="25"/>
        <v>500000</v>
      </c>
      <c r="K216" s="55">
        <f t="shared" si="25"/>
        <v>519195</v>
      </c>
      <c r="L216" s="55">
        <f t="shared" si="25"/>
        <v>0</v>
      </c>
      <c r="M216" s="55">
        <f t="shared" si="25"/>
        <v>6786395</v>
      </c>
    </row>
    <row r="217" spans="1:13" s="22" customFormat="1" ht="16.5" customHeight="1">
      <c r="A217" s="134" t="s">
        <v>25</v>
      </c>
      <c r="B217" s="134"/>
      <c r="C217" s="134"/>
      <c r="D217" s="134"/>
      <c r="E217" s="56"/>
      <c r="F217" s="56"/>
      <c r="G217" s="56"/>
      <c r="H217" s="56"/>
      <c r="I217" s="33"/>
      <c r="J217" s="42"/>
      <c r="K217" s="42"/>
      <c r="L217" s="42"/>
      <c r="M217" s="42"/>
    </row>
    <row r="218" spans="1:13" s="22" customFormat="1" ht="12.75" customHeight="1">
      <c r="A218" s="143" t="s">
        <v>36</v>
      </c>
      <c r="B218" s="143"/>
      <c r="C218" s="143"/>
      <c r="D218" s="143"/>
      <c r="E218" s="143"/>
      <c r="F218" s="143"/>
      <c r="G218" s="143"/>
      <c r="H218" s="143"/>
      <c r="I218" s="143"/>
      <c r="J218" s="143"/>
      <c r="K218" s="143"/>
      <c r="L218" s="143"/>
      <c r="M218" s="143"/>
    </row>
    <row r="219" spans="1:13" s="27" customFormat="1" ht="12.75">
      <c r="A219" s="61" t="s">
        <v>112</v>
      </c>
      <c r="B219" s="24" t="s">
        <v>44</v>
      </c>
      <c r="C219" s="24">
        <v>2002</v>
      </c>
      <c r="D219" s="24">
        <v>2016</v>
      </c>
      <c r="E219" s="62">
        <f>5533866+35000</f>
        <v>5568866</v>
      </c>
      <c r="F219" s="62">
        <f>287000+35000</f>
        <v>322000</v>
      </c>
      <c r="G219" s="62">
        <f>1500000-500000</f>
        <v>1000000</v>
      </c>
      <c r="H219" s="62">
        <f>1869715-1169715</f>
        <v>700000</v>
      </c>
      <c r="I219" s="31">
        <v>500000</v>
      </c>
      <c r="J219" s="31">
        <v>500000</v>
      </c>
      <c r="K219" s="31">
        <v>519195</v>
      </c>
      <c r="L219" s="31">
        <v>0</v>
      </c>
      <c r="M219" s="26">
        <f>SUM(F219:L219)</f>
        <v>3541195</v>
      </c>
    </row>
    <row r="220" spans="1:13" s="27" customFormat="1" ht="12.75">
      <c r="A220" s="63" t="s">
        <v>113</v>
      </c>
      <c r="B220" s="24" t="s">
        <v>45</v>
      </c>
      <c r="C220" s="24"/>
      <c r="D220" s="24"/>
      <c r="E220" s="62"/>
      <c r="F220" s="62"/>
      <c r="G220" s="62"/>
      <c r="H220" s="62"/>
      <c r="I220" s="62"/>
      <c r="J220" s="64"/>
      <c r="K220" s="64"/>
      <c r="L220" s="64"/>
      <c r="M220" s="64"/>
    </row>
    <row r="221" spans="1:13" s="27" customFormat="1" ht="12.75">
      <c r="A221" s="63" t="s">
        <v>114</v>
      </c>
      <c r="B221" s="24" t="s">
        <v>46</v>
      </c>
      <c r="C221" s="24"/>
      <c r="D221" s="24"/>
      <c r="E221" s="62"/>
      <c r="F221" s="62"/>
      <c r="G221" s="62"/>
      <c r="H221" s="62"/>
      <c r="I221" s="62"/>
      <c r="J221" s="64"/>
      <c r="K221" s="64"/>
      <c r="L221" s="64"/>
      <c r="M221" s="64"/>
    </row>
    <row r="222" spans="1:13" s="27" customFormat="1" ht="12.75">
      <c r="A222" s="23" t="s">
        <v>50</v>
      </c>
      <c r="B222" s="24"/>
      <c r="C222" s="24"/>
      <c r="D222" s="24"/>
      <c r="E222" s="62"/>
      <c r="F222" s="62"/>
      <c r="G222" s="62"/>
      <c r="H222" s="62"/>
      <c r="I222" s="62"/>
      <c r="J222" s="64"/>
      <c r="K222" s="64"/>
      <c r="L222" s="64"/>
      <c r="M222" s="64"/>
    </row>
    <row r="223" spans="1:13" s="27" customFormat="1" ht="12.75">
      <c r="A223" s="102"/>
      <c r="B223" s="24"/>
      <c r="C223" s="24"/>
      <c r="D223" s="24"/>
      <c r="E223" s="62"/>
      <c r="F223" s="62"/>
      <c r="G223" s="62"/>
      <c r="H223" s="62"/>
      <c r="I223" s="62"/>
      <c r="J223" s="64"/>
      <c r="K223" s="64"/>
      <c r="L223" s="64"/>
      <c r="M223" s="64"/>
    </row>
    <row r="224" spans="1:13" s="27" customFormat="1" ht="12.75">
      <c r="A224" s="65"/>
      <c r="B224" s="41"/>
      <c r="C224" s="41"/>
      <c r="D224" s="41"/>
      <c r="E224" s="66"/>
      <c r="F224" s="66"/>
      <c r="G224" s="66"/>
      <c r="H224" s="66"/>
      <c r="I224" s="66"/>
      <c r="J224" s="67"/>
      <c r="K224" s="67"/>
      <c r="L224" s="67"/>
      <c r="M224" s="67"/>
    </row>
    <row r="225" spans="1:13" s="27" customFormat="1" ht="12.75">
      <c r="A225" s="68" t="s">
        <v>116</v>
      </c>
      <c r="B225" s="95" t="s">
        <v>44</v>
      </c>
      <c r="C225" s="69">
        <v>2009</v>
      </c>
      <c r="D225" s="69">
        <v>2012</v>
      </c>
      <c r="E225" s="70">
        <v>3262806</v>
      </c>
      <c r="F225" s="70">
        <v>0</v>
      </c>
      <c r="G225" s="70">
        <v>3245200</v>
      </c>
      <c r="H225" s="34">
        <v>0</v>
      </c>
      <c r="I225" s="34">
        <v>0</v>
      </c>
      <c r="J225" s="34">
        <v>0</v>
      </c>
      <c r="K225" s="34">
        <v>0</v>
      </c>
      <c r="L225" s="34">
        <v>0</v>
      </c>
      <c r="M225" s="45">
        <f>SUM(F225:L225)</f>
        <v>3245200</v>
      </c>
    </row>
    <row r="226" spans="1:13" s="27" customFormat="1" ht="12.75">
      <c r="A226" s="23" t="s">
        <v>115</v>
      </c>
      <c r="B226" s="24" t="s">
        <v>45</v>
      </c>
      <c r="C226" s="25"/>
      <c r="D226" s="25"/>
      <c r="E226" s="26"/>
      <c r="F226" s="26"/>
      <c r="G226" s="26"/>
      <c r="H226" s="26"/>
      <c r="I226" s="26"/>
      <c r="J226" s="26"/>
      <c r="K226" s="26"/>
      <c r="L226" s="26"/>
      <c r="M226" s="26"/>
    </row>
    <row r="227" spans="1:13" s="27" customFormat="1" ht="12.75">
      <c r="A227" s="28"/>
      <c r="B227" s="24" t="s">
        <v>46</v>
      </c>
      <c r="C227" s="25"/>
      <c r="D227" s="25"/>
      <c r="E227" s="26"/>
      <c r="F227" s="26"/>
      <c r="G227" s="26"/>
      <c r="H227" s="26"/>
      <c r="I227" s="26"/>
      <c r="J227" s="26"/>
      <c r="K227" s="26"/>
      <c r="L227" s="26"/>
      <c r="M227" s="26"/>
    </row>
    <row r="228" spans="1:13" s="27" customFormat="1" ht="12.75">
      <c r="A228" s="138" t="s">
        <v>81</v>
      </c>
      <c r="B228" s="138"/>
      <c r="C228" s="138"/>
      <c r="D228" s="138"/>
      <c r="E228" s="45">
        <f>SUM(E231)</f>
        <v>798686</v>
      </c>
      <c r="F228" s="45">
        <f>SUM(F231)</f>
        <v>150000</v>
      </c>
      <c r="G228" s="45">
        <f>SUM(G231)</f>
        <v>648686</v>
      </c>
      <c r="H228" s="45">
        <v>0</v>
      </c>
      <c r="I228" s="45">
        <v>0</v>
      </c>
      <c r="J228" s="45">
        <v>0</v>
      </c>
      <c r="K228" s="45">
        <v>0</v>
      </c>
      <c r="L228" s="45">
        <v>0</v>
      </c>
      <c r="M228" s="45">
        <f>SUM(M231)</f>
        <v>798686</v>
      </c>
    </row>
    <row r="229" spans="1:13" s="27" customFormat="1" ht="12.75" customHeight="1">
      <c r="A229" s="139" t="s">
        <v>82</v>
      </c>
      <c r="B229" s="139"/>
      <c r="C229" s="139"/>
      <c r="D229" s="139"/>
      <c r="E229" s="26"/>
      <c r="F229" s="26"/>
      <c r="G229" s="26"/>
      <c r="H229" s="26"/>
      <c r="I229" s="26"/>
      <c r="J229" s="26"/>
      <c r="K229" s="26"/>
      <c r="L229" s="26"/>
      <c r="M229" s="26"/>
    </row>
    <row r="230" spans="1:13" s="22" customFormat="1" ht="12.75" customHeight="1">
      <c r="A230" s="143" t="s">
        <v>37</v>
      </c>
      <c r="B230" s="143"/>
      <c r="C230" s="143"/>
      <c r="D230" s="143"/>
      <c r="E230" s="143"/>
      <c r="F230" s="143"/>
      <c r="G230" s="143"/>
      <c r="H230" s="143"/>
      <c r="I230" s="143"/>
      <c r="J230" s="143"/>
      <c r="K230" s="143"/>
      <c r="L230" s="143"/>
      <c r="M230" s="143"/>
    </row>
    <row r="231" spans="1:13" s="27" customFormat="1" ht="12.75">
      <c r="A231" s="23" t="s">
        <v>80</v>
      </c>
      <c r="B231" s="24" t="s">
        <v>44</v>
      </c>
      <c r="C231" s="25">
        <v>2011</v>
      </c>
      <c r="D231" s="25">
        <v>2012</v>
      </c>
      <c r="E231" s="26">
        <v>798686</v>
      </c>
      <c r="F231" s="26">
        <v>150000</v>
      </c>
      <c r="G231" s="26">
        <v>648686</v>
      </c>
      <c r="H231" s="26">
        <v>0</v>
      </c>
      <c r="I231" s="26">
        <v>0</v>
      </c>
      <c r="J231" s="26">
        <v>0</v>
      </c>
      <c r="K231" s="26">
        <v>0</v>
      </c>
      <c r="L231" s="26">
        <v>0</v>
      </c>
      <c r="M231" s="26">
        <f>SUM(F231:L231)</f>
        <v>798686</v>
      </c>
    </row>
    <row r="232" spans="1:13" s="27" customFormat="1" ht="12.75">
      <c r="A232" s="23"/>
      <c r="B232" s="24" t="s">
        <v>45</v>
      </c>
      <c r="C232" s="25"/>
      <c r="D232" s="25"/>
      <c r="E232" s="26"/>
      <c r="F232" s="26"/>
      <c r="G232" s="26"/>
      <c r="H232" s="26"/>
      <c r="I232" s="26"/>
      <c r="J232" s="26"/>
      <c r="K232" s="26"/>
      <c r="L232" s="26"/>
      <c r="M232" s="26"/>
    </row>
    <row r="233" spans="1:13" s="27" customFormat="1" ht="12.75">
      <c r="A233" s="23"/>
      <c r="B233" s="24" t="s">
        <v>46</v>
      </c>
      <c r="C233" s="25"/>
      <c r="D233" s="25"/>
      <c r="E233" s="26"/>
      <c r="F233" s="26"/>
      <c r="G233" s="26"/>
      <c r="H233" s="26"/>
      <c r="I233" s="26"/>
      <c r="J233" s="26"/>
      <c r="K233" s="26"/>
      <c r="L233" s="26"/>
      <c r="M233" s="26"/>
    </row>
    <row r="234" spans="1:13" s="71" customFormat="1" ht="12.75">
      <c r="A234" s="138" t="s">
        <v>57</v>
      </c>
      <c r="B234" s="138"/>
      <c r="C234" s="138"/>
      <c r="D234" s="138"/>
      <c r="E234" s="55">
        <f>SUM(E241,E244:E247)</f>
        <v>8186063</v>
      </c>
      <c r="F234" s="55">
        <f>SUM(F241,F247,F244)</f>
        <v>59150</v>
      </c>
      <c r="G234" s="55">
        <f>SUM(G241,G247,,G244)</f>
        <v>6981314</v>
      </c>
      <c r="H234" s="55">
        <f>SUM(H241,H247)</f>
        <v>639715</v>
      </c>
      <c r="I234" s="34">
        <v>0</v>
      </c>
      <c r="J234" s="34">
        <v>0</v>
      </c>
      <c r="K234" s="34">
        <v>0</v>
      </c>
      <c r="L234" s="34">
        <v>0</v>
      </c>
      <c r="M234" s="55">
        <f>SUM(M241,M247,M244)</f>
        <v>7680179</v>
      </c>
    </row>
    <row r="235" spans="1:13" s="22" customFormat="1" ht="27" customHeight="1">
      <c r="A235" s="134" t="s">
        <v>26</v>
      </c>
      <c r="B235" s="134"/>
      <c r="C235" s="134"/>
      <c r="D235" s="134"/>
      <c r="E235" s="57"/>
      <c r="F235" s="57"/>
      <c r="G235" s="57"/>
      <c r="H235" s="67">
        <f>SUM(H242,H248,)</f>
        <v>0</v>
      </c>
      <c r="I235" s="36"/>
      <c r="J235" s="37"/>
      <c r="K235" s="37"/>
      <c r="L235" s="37"/>
      <c r="M235" s="37"/>
    </row>
    <row r="236" spans="1:13" s="12" customFormat="1" ht="13.5" thickBot="1">
      <c r="A236" s="127" t="s">
        <v>128</v>
      </c>
      <c r="B236" s="127"/>
      <c r="C236" s="127"/>
      <c r="D236" s="127"/>
      <c r="E236" s="127"/>
      <c r="F236" s="127"/>
      <c r="G236" s="127"/>
      <c r="H236" s="127"/>
      <c r="I236" s="127"/>
      <c r="J236" s="127"/>
      <c r="K236" s="127"/>
      <c r="L236" s="127"/>
      <c r="M236" s="127"/>
    </row>
    <row r="237" spans="1:13" s="9" customFormat="1" ht="19.5" customHeight="1">
      <c r="A237" s="124" t="s">
        <v>0</v>
      </c>
      <c r="B237" s="124" t="s">
        <v>2</v>
      </c>
      <c r="C237" s="144" t="s">
        <v>19</v>
      </c>
      <c r="D237" s="145"/>
      <c r="E237" s="124" t="s">
        <v>1</v>
      </c>
      <c r="F237" s="124" t="s">
        <v>68</v>
      </c>
      <c r="G237" s="124" t="s">
        <v>69</v>
      </c>
      <c r="H237" s="124" t="s">
        <v>70</v>
      </c>
      <c r="I237" s="124" t="s">
        <v>71</v>
      </c>
      <c r="J237" s="124" t="s">
        <v>72</v>
      </c>
      <c r="K237" s="124" t="s">
        <v>73</v>
      </c>
      <c r="L237" s="124" t="s">
        <v>74</v>
      </c>
      <c r="M237" s="124" t="s">
        <v>76</v>
      </c>
    </row>
    <row r="238" spans="1:13" s="9" customFormat="1" ht="18.75" customHeight="1" thickBot="1">
      <c r="A238" s="125"/>
      <c r="B238" s="125"/>
      <c r="C238" s="146"/>
      <c r="D238" s="147"/>
      <c r="E238" s="125"/>
      <c r="F238" s="125"/>
      <c r="G238" s="125"/>
      <c r="H238" s="125"/>
      <c r="I238" s="125"/>
      <c r="J238" s="125"/>
      <c r="K238" s="125"/>
      <c r="L238" s="125"/>
      <c r="M238" s="125"/>
    </row>
    <row r="239" spans="1:13" s="10" customFormat="1" ht="17.25" customHeight="1" thickBot="1">
      <c r="A239" s="126"/>
      <c r="B239" s="126"/>
      <c r="C239" s="8" t="s">
        <v>11</v>
      </c>
      <c r="D239" s="8" t="s">
        <v>12</v>
      </c>
      <c r="E239" s="126"/>
      <c r="F239" s="126"/>
      <c r="G239" s="126"/>
      <c r="H239" s="126"/>
      <c r="I239" s="126"/>
      <c r="J239" s="126"/>
      <c r="K239" s="126"/>
      <c r="L239" s="126"/>
      <c r="M239" s="126"/>
    </row>
    <row r="240" spans="1:13" s="22" customFormat="1" ht="12.75" customHeight="1">
      <c r="A240" s="167" t="s">
        <v>36</v>
      </c>
      <c r="B240" s="168"/>
      <c r="C240" s="168"/>
      <c r="D240" s="168"/>
      <c r="E240" s="168"/>
      <c r="F240" s="168"/>
      <c r="G240" s="168"/>
      <c r="H240" s="168"/>
      <c r="I240" s="168"/>
      <c r="J240" s="168"/>
      <c r="K240" s="168"/>
      <c r="L240" s="168"/>
      <c r="M240" s="169"/>
    </row>
    <row r="241" spans="1:13" s="27" customFormat="1" ht="12.75">
      <c r="A241" s="23" t="s">
        <v>28</v>
      </c>
      <c r="B241" s="24" t="s">
        <v>3</v>
      </c>
      <c r="C241" s="25">
        <v>2010</v>
      </c>
      <c r="D241" s="25">
        <v>2012</v>
      </c>
      <c r="E241" s="26">
        <f>3785034-3785034</f>
        <v>0</v>
      </c>
      <c r="F241" s="26">
        <f>159150-100000-59150</f>
        <v>0</v>
      </c>
      <c r="G241" s="26">
        <f>3650000-3650000</f>
        <v>0</v>
      </c>
      <c r="H241" s="34">
        <v>0</v>
      </c>
      <c r="I241" s="34">
        <v>0</v>
      </c>
      <c r="J241" s="34">
        <v>0</v>
      </c>
      <c r="K241" s="34">
        <v>0</v>
      </c>
      <c r="L241" s="34">
        <v>0</v>
      </c>
      <c r="M241" s="26">
        <f>SUM(F241:L241)</f>
        <v>0</v>
      </c>
    </row>
    <row r="242" spans="1:13" s="27" customFormat="1" ht="12.75">
      <c r="A242" s="28" t="s">
        <v>5</v>
      </c>
      <c r="B242" s="24" t="s">
        <v>4</v>
      </c>
      <c r="C242" s="25"/>
      <c r="D242" s="25"/>
      <c r="E242" s="26"/>
      <c r="F242" s="26"/>
      <c r="G242" s="26"/>
      <c r="H242" s="26"/>
      <c r="I242" s="26"/>
      <c r="J242" s="26"/>
      <c r="K242" s="26"/>
      <c r="L242" s="26"/>
      <c r="M242" s="26"/>
    </row>
    <row r="243" spans="1:13" s="27" customFormat="1" ht="12.75">
      <c r="A243" s="57"/>
      <c r="B243" s="41"/>
      <c r="C243" s="54"/>
      <c r="D243" s="54"/>
      <c r="E243" s="42"/>
      <c r="F243" s="42"/>
      <c r="G243" s="42"/>
      <c r="H243" s="42"/>
      <c r="I243" s="42"/>
      <c r="J243" s="42"/>
      <c r="K243" s="42"/>
      <c r="L243" s="42"/>
      <c r="M243" s="42"/>
    </row>
    <row r="244" spans="1:13" s="27" customFormat="1" ht="12.75">
      <c r="A244" s="23" t="s">
        <v>28</v>
      </c>
      <c r="B244" s="24" t="s">
        <v>3</v>
      </c>
      <c r="C244" s="25">
        <v>2010</v>
      </c>
      <c r="D244" s="25">
        <v>2012</v>
      </c>
      <c r="E244" s="26">
        <f>3785034</f>
        <v>3785034</v>
      </c>
      <c r="F244" s="26">
        <f>59150</f>
        <v>59150</v>
      </c>
      <c r="G244" s="26">
        <f>3650000</f>
        <v>3650000</v>
      </c>
      <c r="H244" s="34">
        <v>0</v>
      </c>
      <c r="I244" s="34">
        <v>0</v>
      </c>
      <c r="J244" s="34">
        <v>0</v>
      </c>
      <c r="K244" s="34">
        <v>0</v>
      </c>
      <c r="L244" s="34">
        <v>0</v>
      </c>
      <c r="M244" s="26">
        <f>SUM(F244:L244)</f>
        <v>3709150</v>
      </c>
    </row>
    <row r="245" spans="1:13" s="27" customFormat="1" ht="12.75">
      <c r="A245" s="28" t="s">
        <v>92</v>
      </c>
      <c r="B245" s="24" t="s">
        <v>4</v>
      </c>
      <c r="C245" s="25"/>
      <c r="D245" s="25"/>
      <c r="E245" s="26"/>
      <c r="F245" s="26"/>
      <c r="G245" s="26"/>
      <c r="H245" s="26"/>
      <c r="I245" s="26"/>
      <c r="J245" s="26"/>
      <c r="K245" s="26"/>
      <c r="L245" s="26"/>
      <c r="M245" s="26"/>
    </row>
    <row r="246" spans="1:13" s="27" customFormat="1" ht="12.75">
      <c r="A246" s="57"/>
      <c r="B246" s="41"/>
      <c r="C246" s="54"/>
      <c r="D246" s="54"/>
      <c r="E246" s="42"/>
      <c r="F246" s="42"/>
      <c r="G246" s="42"/>
      <c r="H246" s="42"/>
      <c r="I246" s="42"/>
      <c r="J246" s="42"/>
      <c r="K246" s="42"/>
      <c r="L246" s="42"/>
      <c r="M246" s="42"/>
    </row>
    <row r="247" spans="1:13" s="27" customFormat="1" ht="12.75">
      <c r="A247" s="23" t="s">
        <v>83</v>
      </c>
      <c r="B247" s="51" t="s">
        <v>44</v>
      </c>
      <c r="C247" s="25">
        <v>2009</v>
      </c>
      <c r="D247" s="25">
        <v>2013</v>
      </c>
      <c r="E247" s="45">
        <v>4401029</v>
      </c>
      <c r="F247" s="45"/>
      <c r="G247" s="45">
        <v>3331314</v>
      </c>
      <c r="H247" s="45">
        <v>639715</v>
      </c>
      <c r="I247" s="34">
        <v>0</v>
      </c>
      <c r="J247" s="34">
        <v>0</v>
      </c>
      <c r="K247" s="34">
        <v>0</v>
      </c>
      <c r="L247" s="34">
        <v>0</v>
      </c>
      <c r="M247" s="26">
        <f>SUM(F247:L247)</f>
        <v>3971029</v>
      </c>
    </row>
    <row r="248" spans="1:13" s="27" customFormat="1" ht="12.75">
      <c r="A248" s="23"/>
      <c r="B248" s="52" t="s">
        <v>45</v>
      </c>
      <c r="C248" s="25"/>
      <c r="D248" s="25"/>
      <c r="E248" s="26"/>
      <c r="F248" s="26"/>
      <c r="G248" s="26"/>
      <c r="H248" s="26"/>
      <c r="I248" s="26"/>
      <c r="J248" s="26"/>
      <c r="K248" s="26"/>
      <c r="L248" s="26"/>
      <c r="M248" s="26"/>
    </row>
    <row r="249" spans="1:13" s="27" customFormat="1" ht="12.75">
      <c r="A249" s="23"/>
      <c r="B249" s="52" t="s">
        <v>46</v>
      </c>
      <c r="C249" s="25"/>
      <c r="D249" s="25"/>
      <c r="E249" s="72"/>
      <c r="F249" s="72"/>
      <c r="G249" s="72"/>
      <c r="H249" s="72"/>
      <c r="I249" s="72"/>
      <c r="J249" s="72"/>
      <c r="K249" s="72"/>
      <c r="L249" s="72"/>
      <c r="M249" s="72"/>
    </row>
    <row r="250" spans="1:13" s="74" customFormat="1" ht="28.5" customHeight="1">
      <c r="A250" s="129" t="s">
        <v>66</v>
      </c>
      <c r="B250" s="129"/>
      <c r="C250" s="129"/>
      <c r="D250" s="129"/>
      <c r="E250" s="73" t="s">
        <v>78</v>
      </c>
      <c r="F250" s="73" t="s">
        <v>78</v>
      </c>
      <c r="G250" s="73" t="s">
        <v>78</v>
      </c>
      <c r="H250" s="73" t="s">
        <v>78</v>
      </c>
      <c r="I250" s="73" t="s">
        <v>78</v>
      </c>
      <c r="J250" s="73" t="s">
        <v>78</v>
      </c>
      <c r="K250" s="73" t="s">
        <v>78</v>
      </c>
      <c r="L250" s="73" t="s">
        <v>78</v>
      </c>
      <c r="M250" s="103" t="s">
        <v>78</v>
      </c>
    </row>
    <row r="251" spans="1:13" s="74" customFormat="1" ht="12.75" customHeight="1">
      <c r="A251" s="158" t="s">
        <v>21</v>
      </c>
      <c r="B251" s="159"/>
      <c r="C251" s="159"/>
      <c r="D251" s="160"/>
      <c r="E251" s="49" t="s">
        <v>78</v>
      </c>
      <c r="F251" s="49" t="s">
        <v>78</v>
      </c>
      <c r="G251" s="49" t="s">
        <v>78</v>
      </c>
      <c r="H251" s="49" t="s">
        <v>78</v>
      </c>
      <c r="I251" s="49" t="s">
        <v>78</v>
      </c>
      <c r="J251" s="49" t="s">
        <v>78</v>
      </c>
      <c r="K251" s="49" t="s">
        <v>78</v>
      </c>
      <c r="L251" s="49" t="s">
        <v>78</v>
      </c>
      <c r="M251" s="104" t="s">
        <v>78</v>
      </c>
    </row>
    <row r="252" spans="1:13" s="12" customFormat="1" ht="12.75" customHeight="1">
      <c r="A252" s="161" t="s">
        <v>22</v>
      </c>
      <c r="B252" s="162"/>
      <c r="C252" s="162"/>
      <c r="D252" s="163"/>
      <c r="E252" s="49" t="s">
        <v>78</v>
      </c>
      <c r="F252" s="49" t="s">
        <v>78</v>
      </c>
      <c r="G252" s="49" t="s">
        <v>78</v>
      </c>
      <c r="H252" s="49" t="s">
        <v>78</v>
      </c>
      <c r="I252" s="49" t="s">
        <v>78</v>
      </c>
      <c r="J252" s="49" t="s">
        <v>78</v>
      </c>
      <c r="K252" s="49" t="s">
        <v>78</v>
      </c>
      <c r="L252" s="49" t="s">
        <v>78</v>
      </c>
      <c r="M252" s="104" t="s">
        <v>78</v>
      </c>
    </row>
    <row r="253" spans="1:13" s="74" customFormat="1" ht="12.75" customHeight="1">
      <c r="A253" s="129" t="s">
        <v>65</v>
      </c>
      <c r="B253" s="129"/>
      <c r="C253" s="129"/>
      <c r="D253" s="129"/>
      <c r="E253" s="73" t="s">
        <v>78</v>
      </c>
      <c r="F253" s="73" t="s">
        <v>78</v>
      </c>
      <c r="G253" s="73" t="s">
        <v>78</v>
      </c>
      <c r="H253" s="73" t="s">
        <v>78</v>
      </c>
      <c r="I253" s="73" t="s">
        <v>78</v>
      </c>
      <c r="J253" s="73" t="s">
        <v>78</v>
      </c>
      <c r="K253" s="73" t="s">
        <v>78</v>
      </c>
      <c r="L253" s="73" t="s">
        <v>78</v>
      </c>
      <c r="M253" s="103" t="s">
        <v>78</v>
      </c>
    </row>
    <row r="254" spans="1:13" s="74" customFormat="1" ht="12.75" customHeight="1">
      <c r="A254" s="164" t="s">
        <v>21</v>
      </c>
      <c r="B254" s="165"/>
      <c r="C254" s="165"/>
      <c r="D254" s="166"/>
      <c r="E254" s="49" t="s">
        <v>78</v>
      </c>
      <c r="F254" s="49" t="s">
        <v>78</v>
      </c>
      <c r="G254" s="49" t="s">
        <v>78</v>
      </c>
      <c r="H254" s="49" t="s">
        <v>78</v>
      </c>
      <c r="I254" s="49" t="s">
        <v>78</v>
      </c>
      <c r="J254" s="49" t="s">
        <v>78</v>
      </c>
      <c r="K254" s="49" t="s">
        <v>78</v>
      </c>
      <c r="L254" s="49" t="s">
        <v>78</v>
      </c>
      <c r="M254" s="104" t="s">
        <v>78</v>
      </c>
    </row>
    <row r="255" spans="1:13" s="79" customFormat="1" ht="12.75">
      <c r="A255" s="75"/>
      <c r="B255" s="75"/>
      <c r="C255" s="75"/>
      <c r="D255" s="75"/>
      <c r="E255" s="76"/>
      <c r="F255" s="76"/>
      <c r="G255" s="76"/>
      <c r="H255" s="77"/>
      <c r="I255" s="77"/>
      <c r="J255" s="77"/>
      <c r="K255" s="77"/>
      <c r="L255" s="78"/>
      <c r="M255" s="76"/>
    </row>
    <row r="258" spans="1:13" ht="69.75" customHeight="1">
      <c r="A258" s="157"/>
      <c r="B258" s="157"/>
      <c r="C258" s="157"/>
      <c r="D258" s="157"/>
      <c r="E258" s="157"/>
      <c r="F258" s="157"/>
      <c r="G258" s="157"/>
      <c r="H258" s="157"/>
      <c r="I258" s="157"/>
      <c r="J258" s="157"/>
      <c r="K258" s="157"/>
      <c r="L258" s="157"/>
      <c r="M258" s="157"/>
    </row>
  </sheetData>
  <sheetProtection/>
  <mergeCells count="121">
    <mergeCell ref="L237:L239"/>
    <mergeCell ref="M237:M239"/>
    <mergeCell ref="B237:B239"/>
    <mergeCell ref="C237:D238"/>
    <mergeCell ref="E237:E239"/>
    <mergeCell ref="F237:F239"/>
    <mergeCell ref="G237:G239"/>
    <mergeCell ref="A240:M240"/>
    <mergeCell ref="A128:D128"/>
    <mergeCell ref="A129:M129"/>
    <mergeCell ref="A172:D172"/>
    <mergeCell ref="A216:D216"/>
    <mergeCell ref="A178:D178"/>
    <mergeCell ref="A217:D217"/>
    <mergeCell ref="A236:M236"/>
    <mergeCell ref="I237:I239"/>
    <mergeCell ref="J237:J239"/>
    <mergeCell ref="A237:A239"/>
    <mergeCell ref="A200:D200"/>
    <mergeCell ref="A201:D201"/>
    <mergeCell ref="A202:M202"/>
    <mergeCell ref="A180:M180"/>
    <mergeCell ref="A179:D179"/>
    <mergeCell ref="A218:M218"/>
    <mergeCell ref="H237:H239"/>
    <mergeCell ref="A230:M230"/>
    <mergeCell ref="K237:K239"/>
    <mergeCell ref="A258:M258"/>
    <mergeCell ref="A235:D235"/>
    <mergeCell ref="A234:D234"/>
    <mergeCell ref="A250:D250"/>
    <mergeCell ref="A253:D253"/>
    <mergeCell ref="A228:D228"/>
    <mergeCell ref="A229:D229"/>
    <mergeCell ref="A251:D251"/>
    <mergeCell ref="A252:D252"/>
    <mergeCell ref="A254:D254"/>
    <mergeCell ref="A20:M20"/>
    <mergeCell ref="A98:D98"/>
    <mergeCell ref="M7:M9"/>
    <mergeCell ref="A15:D15"/>
    <mergeCell ref="L7:L9"/>
    <mergeCell ref="I7:I9"/>
    <mergeCell ref="F7:F9"/>
    <mergeCell ref="G7:G9"/>
    <mergeCell ref="A57:D57"/>
    <mergeCell ref="H7:H9"/>
    <mergeCell ref="E7:E9"/>
    <mergeCell ref="K7:K9"/>
    <mergeCell ref="A7:A9"/>
    <mergeCell ref="A14:D14"/>
    <mergeCell ref="A5:M5"/>
    <mergeCell ref="J7:J9"/>
    <mergeCell ref="A17:D17"/>
    <mergeCell ref="B7:B9"/>
    <mergeCell ref="A11:D11"/>
    <mergeCell ref="A92:D92"/>
    <mergeCell ref="A10:D10"/>
    <mergeCell ref="C7:D8"/>
    <mergeCell ref="A18:D18"/>
    <mergeCell ref="A50:D50"/>
    <mergeCell ref="A63:D63"/>
    <mergeCell ref="A12:D12"/>
    <mergeCell ref="A174:M174"/>
    <mergeCell ref="A99:D99"/>
    <mergeCell ref="A93:D93"/>
    <mergeCell ref="A13:D13"/>
    <mergeCell ref="A19:D19"/>
    <mergeCell ref="A51:D51"/>
    <mergeCell ref="A52:M52"/>
    <mergeCell ref="A79:M79"/>
    <mergeCell ref="A94:M94"/>
    <mergeCell ref="A16:D16"/>
    <mergeCell ref="A173:D173"/>
    <mergeCell ref="H157:H159"/>
    <mergeCell ref="I157:I159"/>
    <mergeCell ref="J157:J159"/>
    <mergeCell ref="A123:D123"/>
    <mergeCell ref="A126:D126"/>
    <mergeCell ref="A125:D125"/>
    <mergeCell ref="A124:D124"/>
    <mergeCell ref="A134:D134"/>
    <mergeCell ref="A127:D127"/>
    <mergeCell ref="A100:M100"/>
    <mergeCell ref="A71:D71"/>
    <mergeCell ref="A133:D133"/>
    <mergeCell ref="A135:D135"/>
    <mergeCell ref="A37:D37"/>
    <mergeCell ref="A38:D38"/>
    <mergeCell ref="A39:M39"/>
    <mergeCell ref="A44:D44"/>
    <mergeCell ref="A72:D72"/>
    <mergeCell ref="A65:D65"/>
    <mergeCell ref="L76:L78"/>
    <mergeCell ref="M76:M78"/>
    <mergeCell ref="A75:M75"/>
    <mergeCell ref="B76:B78"/>
    <mergeCell ref="C76:D77"/>
    <mergeCell ref="E76:E78"/>
    <mergeCell ref="F76:F78"/>
    <mergeCell ref="G76:G78"/>
    <mergeCell ref="A156:M156"/>
    <mergeCell ref="A157:A159"/>
    <mergeCell ref="H76:H78"/>
    <mergeCell ref="E157:E159"/>
    <mergeCell ref="F157:F159"/>
    <mergeCell ref="G157:G159"/>
    <mergeCell ref="I76:I78"/>
    <mergeCell ref="J76:J78"/>
    <mergeCell ref="A76:A78"/>
    <mergeCell ref="A122:D122"/>
    <mergeCell ref="B157:B159"/>
    <mergeCell ref="C157:D158"/>
    <mergeCell ref="K76:K78"/>
    <mergeCell ref="A136:M136"/>
    <mergeCell ref="K157:K159"/>
    <mergeCell ref="L157:L159"/>
    <mergeCell ref="M157:M159"/>
    <mergeCell ref="A116:D116"/>
    <mergeCell ref="A117:D117"/>
    <mergeCell ref="A118:M118"/>
  </mergeCells>
  <printOptions horizontalCentered="1"/>
  <pageMargins left="0" right="0" top="0.3937007874015748" bottom="0.3937007874015748" header="0.5118110236220472" footer="0.5118110236220472"/>
  <pageSetup horizontalDpi="600" verticalDpi="600" orientation="landscape" paperSize="8" scale="74" r:id="rId1"/>
  <rowBreaks count="2" manualBreakCount="2">
    <brk id="74" max="12" man="1"/>
    <brk id="235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2.75">
      <c r="B1" s="116" t="s">
        <v>131</v>
      </c>
      <c r="C1" s="116"/>
      <c r="D1" s="120"/>
      <c r="E1" s="120"/>
      <c r="F1" s="120"/>
    </row>
    <row r="2" spans="2:6" ht="12.75">
      <c r="B2" s="116" t="s">
        <v>132</v>
      </c>
      <c r="C2" s="116"/>
      <c r="D2" s="120"/>
      <c r="E2" s="120"/>
      <c r="F2" s="120"/>
    </row>
    <row r="3" spans="2:6" ht="12.75">
      <c r="B3" s="117"/>
      <c r="C3" s="117"/>
      <c r="D3" s="121"/>
      <c r="E3" s="121"/>
      <c r="F3" s="121"/>
    </row>
    <row r="4" spans="2:6" ht="51">
      <c r="B4" s="117" t="s">
        <v>133</v>
      </c>
      <c r="C4" s="117"/>
      <c r="D4" s="121"/>
      <c r="E4" s="121"/>
      <c r="F4" s="121"/>
    </row>
    <row r="5" spans="2:6" ht="12.75">
      <c r="B5" s="117"/>
      <c r="C5" s="117"/>
      <c r="D5" s="121"/>
      <c r="E5" s="121"/>
      <c r="F5" s="121"/>
    </row>
    <row r="6" spans="2:6" ht="25.5">
      <c r="B6" s="116" t="s">
        <v>134</v>
      </c>
      <c r="C6" s="116"/>
      <c r="D6" s="120"/>
      <c r="E6" s="120" t="s">
        <v>135</v>
      </c>
      <c r="F6" s="120" t="s">
        <v>136</v>
      </c>
    </row>
    <row r="7" spans="2:6" ht="13.5" thickBot="1">
      <c r="B7" s="117"/>
      <c r="C7" s="117"/>
      <c r="D7" s="121"/>
      <c r="E7" s="121"/>
      <c r="F7" s="121"/>
    </row>
    <row r="8" spans="2:6" ht="39" thickBot="1">
      <c r="B8" s="118" t="s">
        <v>137</v>
      </c>
      <c r="C8" s="119"/>
      <c r="D8" s="122"/>
      <c r="E8" s="122">
        <v>159</v>
      </c>
      <c r="F8" s="123" t="s">
        <v>138</v>
      </c>
    </row>
    <row r="9" spans="2:6" ht="12.75">
      <c r="B9" s="117"/>
      <c r="C9" s="117"/>
      <c r="D9" s="121"/>
      <c r="E9" s="121"/>
      <c r="F9" s="121"/>
    </row>
    <row r="10" spans="2:6" ht="12.75">
      <c r="B10" s="117"/>
      <c r="C10" s="117"/>
      <c r="D10" s="121"/>
      <c r="E10" s="121"/>
      <c r="F10" s="12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</dc:creator>
  <cp:keywords/>
  <dc:description/>
  <cp:lastModifiedBy>msoltys</cp:lastModifiedBy>
  <cp:lastPrinted>2011-10-19T09:45:51Z</cp:lastPrinted>
  <dcterms:created xsi:type="dcterms:W3CDTF">2010-06-05T20:15:04Z</dcterms:created>
  <dcterms:modified xsi:type="dcterms:W3CDTF">2011-11-08T13:51:26Z</dcterms:modified>
  <cp:category/>
  <cp:version/>
  <cp:contentType/>
  <cp:contentStatus/>
</cp:coreProperties>
</file>