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'Arkusz1'!$A$1:$L$367</definedName>
  </definedNames>
  <calcPr fullCalcOnLoad="1"/>
</workbook>
</file>

<file path=xl/sharedStrings.xml><?xml version="1.0" encoding="utf-8"?>
<sst xmlns="http://schemas.openxmlformats.org/spreadsheetml/2006/main" count="550" uniqueCount="363">
  <si>
    <t>Lp.</t>
  </si>
  <si>
    <t xml:space="preserve">Wyszczególnienie </t>
  </si>
  <si>
    <t>Dział</t>
  </si>
  <si>
    <t>Rozdział</t>
  </si>
  <si>
    <t>§</t>
  </si>
  <si>
    <t>Termin</t>
  </si>
  <si>
    <t>Nakłady poniesione w latach:</t>
  </si>
  <si>
    <t xml:space="preserve">Plan </t>
  </si>
  <si>
    <t>1</t>
  </si>
  <si>
    <t>2</t>
  </si>
  <si>
    <t>3</t>
  </si>
  <si>
    <t>4</t>
  </si>
  <si>
    <t>5</t>
  </si>
  <si>
    <t>6</t>
  </si>
  <si>
    <t>7</t>
  </si>
  <si>
    <t>8</t>
  </si>
  <si>
    <t>Transport i łączność</t>
  </si>
  <si>
    <t>Drogi publiczne w miastach na prawach powiatu</t>
  </si>
  <si>
    <t>Wydatki inwestycyjne jednostek budżetowych</t>
  </si>
  <si>
    <t>3.</t>
  </si>
  <si>
    <t>4.</t>
  </si>
  <si>
    <t>7.</t>
  </si>
  <si>
    <t>Drogi publiczne gminne</t>
  </si>
  <si>
    <t>Wydatki na zakupy inwestycyjne jednostek budżetowych</t>
  </si>
  <si>
    <t>Gospodarka mieszkaniowa</t>
  </si>
  <si>
    <t>Zakłady gospodarki mieszkaniowej</t>
  </si>
  <si>
    <t>Gospodarka gruntami i nieruchomościami</t>
  </si>
  <si>
    <t>Administracja  publiczna</t>
  </si>
  <si>
    <t>Urzędy gmin (miast i miast na prawach powiatu)</t>
  </si>
  <si>
    <t>Bezpieczeństwo publiczne i ochrona przeciwpożarowa</t>
  </si>
  <si>
    <t>Pozostała działalność</t>
  </si>
  <si>
    <t>Oświata i wychowanie</t>
  </si>
  <si>
    <t>Szkoły podstawowe</t>
  </si>
  <si>
    <t>Licea ogólnokształcące</t>
  </si>
  <si>
    <t>Ochrona zdrowia</t>
  </si>
  <si>
    <t>Przeciwdziałanie alkoholizmowi</t>
  </si>
  <si>
    <t>Pomoc społeczna</t>
  </si>
  <si>
    <t>Placówki opiekuńczo - wychowawcze</t>
  </si>
  <si>
    <t>Domy pomocy społecznej</t>
  </si>
  <si>
    <t>49.</t>
  </si>
  <si>
    <t>Ośrodki wsparcia</t>
  </si>
  <si>
    <t>50.</t>
  </si>
  <si>
    <t>52.</t>
  </si>
  <si>
    <t>53.</t>
  </si>
  <si>
    <t>54.</t>
  </si>
  <si>
    <t>Edukacyjna opieka wychowawcza</t>
  </si>
  <si>
    <t>55.</t>
  </si>
  <si>
    <t>Gospodarka komunalna  i ochrona środowiska</t>
  </si>
  <si>
    <t>57.</t>
  </si>
  <si>
    <t>Oświetlenie ulic, placów i dróg</t>
  </si>
  <si>
    <t>Kultura i ochrona dziedzictwa narodowego</t>
  </si>
  <si>
    <t>kosztów realizacji inwestycji i zakupów inwestycyjnych innych</t>
  </si>
  <si>
    <t>jednostek sektora finansów publicznych</t>
  </si>
  <si>
    <t>Ochrona zabytków i opieka nad zabytkami</t>
  </si>
  <si>
    <t>Obiekty sportowe</t>
  </si>
  <si>
    <t>14.</t>
  </si>
  <si>
    <t>56.</t>
  </si>
  <si>
    <t>6.</t>
  </si>
  <si>
    <t>Kultura fizyczna i sport</t>
  </si>
  <si>
    <t xml:space="preserve"> </t>
  </si>
  <si>
    <t>5.</t>
  </si>
  <si>
    <t>9.</t>
  </si>
  <si>
    <t>10.</t>
  </si>
  <si>
    <t>11.</t>
  </si>
  <si>
    <t>12.</t>
  </si>
  <si>
    <t>13.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</si>
  <si>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</si>
  <si>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</si>
  <si>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</si>
  <si>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</si>
  <si>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</si>
  <si>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</si>
  <si>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</si>
  <si>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</si>
  <si>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</si>
  <si>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</si>
  <si>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</si>
  <si>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</si>
  <si>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</si>
  <si>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</si>
  <si>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</si>
  <si>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</si>
  <si>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</si>
  <si>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</si>
  <si>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</si>
  <si>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</si>
  <si>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</si>
  <si>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</si>
  <si>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Muzea</t>
  </si>
  <si>
    <t>- Szkoła jak nowa - modernizacja infrastruktury dydaktycznej</t>
  </si>
  <si>
    <t>Remont i rewaloryzacja Akademii Rycerskiej ul. Chojnowska 2 w Legnicy</t>
  </si>
  <si>
    <t xml:space="preserve">Dotacje celowe z budżetu na finansowanie lub dofinansowanie </t>
  </si>
  <si>
    <t>30.</t>
  </si>
  <si>
    <t xml:space="preserve">Przebudowa drogi krajowej nr 94 w Legnicy. Etap I - ul. Chojnowska </t>
  </si>
  <si>
    <t>od granic miasta do ul. Jagiellońskiej</t>
  </si>
  <si>
    <t>Uzbrojenie terenów inwestycyjnych pod budownictwo mieszkaniowe</t>
  </si>
  <si>
    <t>- sieci i drogi na Osiedlu Piekary Jednostka "B"</t>
  </si>
  <si>
    <t xml:space="preserve">Budowa miejskiej, szerokopasmowej i bezpiecznej sieci </t>
  </si>
  <si>
    <t>teleinformatycznej LEGMAN w Legnicy</t>
  </si>
  <si>
    <t xml:space="preserve">Modernizacja bazy sportowej dla potrzeb dzieci i młodzieży  przy </t>
  </si>
  <si>
    <t>Stadionie im. Orła Białego w Legnicy</t>
  </si>
  <si>
    <t>rozpoczęcia</t>
  </si>
  <si>
    <t>Przebudowa ulicy Gniewomierskiej jako I Etap budowy obwodnicy</t>
  </si>
  <si>
    <t>południowo-wschodniej Legnicy</t>
  </si>
  <si>
    <t xml:space="preserve">Budowa Zbiorczej Drogi Południowej w Legnicy - Etap II od </t>
  </si>
  <si>
    <t>na rzece Kaczawie</t>
  </si>
  <si>
    <t>do gminnego zasobu nieruchomości</t>
  </si>
  <si>
    <t>Nabywanie nieruchomości oraz prawa użytkowania wieczystego</t>
  </si>
  <si>
    <t>Szkoły zawodowe</t>
  </si>
  <si>
    <t xml:space="preserve">Modernizacja bazy sportowej dla szkolenia młodzieży uzdolnionej </t>
  </si>
  <si>
    <t>piłkarsko w Legnicy przy ul. Grabskiego 14</t>
  </si>
  <si>
    <t xml:space="preserve">dofinansowanie kosztów realizacji inwestycji i zakupów </t>
  </si>
  <si>
    <t>ul. Wojska Polskiego do al. Rzeczypospolitej z budową mostu</t>
  </si>
  <si>
    <t xml:space="preserve">Odnowa zdegradowanych obszarów miejskich w rejonie </t>
  </si>
  <si>
    <t>ul. H. Pobożnego - budowa ogrodu zabaw dla dzieci</t>
  </si>
  <si>
    <t>1.</t>
  </si>
  <si>
    <t>2.</t>
  </si>
  <si>
    <t>Odnowa zdegradowanych obszarów miejskich w rejonie ul. H. Pobożnego</t>
  </si>
  <si>
    <t>- przebudowa dróg na obszarze rewitalizowanym</t>
  </si>
  <si>
    <t>15.</t>
  </si>
  <si>
    <t>16.</t>
  </si>
  <si>
    <t>17.</t>
  </si>
  <si>
    <t>19.</t>
  </si>
  <si>
    <t>20.</t>
  </si>
  <si>
    <t>21.</t>
  </si>
  <si>
    <t>22.</t>
  </si>
  <si>
    <t>23.</t>
  </si>
  <si>
    <t>Dom Pomocy Społecznej dla Dzieci ul. Kubusia Puchatka 4</t>
  </si>
  <si>
    <t>Poradnie psychologiczno-pedagogiczne, w tym poradnie specjalistyczne</t>
  </si>
  <si>
    <t>9</t>
  </si>
  <si>
    <t>Modernizacja Płyty Rynku i ulic przyległych</t>
  </si>
  <si>
    <t>- renowacja części wspólnych wielorodzinnych budynków mieszkalnych</t>
  </si>
  <si>
    <t>Zespół Szkół Ogólnokształcących Nr 2 ul. Radosna 17 w Legnicy</t>
  </si>
  <si>
    <t xml:space="preserve">Budowa cmentarza komunalnego - I etap: droga dojazdowa, Krematorium, </t>
  </si>
  <si>
    <t>Dom Pogrzebowy, parkingi, 32 kwatery, ogrodzenie, aleje główne i boczne</t>
  </si>
  <si>
    <t>Modernizacja budynku przy ul. Pocztowej 1 - docieplenie ściany szczytowej</t>
  </si>
  <si>
    <t xml:space="preserve">Informatyzacja Urzędu Miasta - zakup i wdrożenie systemów </t>
  </si>
  <si>
    <t>wspomagających zarządzanie Miastem (w tym m.in. integracja rozwiązań</t>
  </si>
  <si>
    <t>z zakresu mapy numerycznej z pozostałymi bazami danych  i rejestrami UM)</t>
  </si>
  <si>
    <t>elektronicznego dostępu do UM (w tym doposażenie  w sprzęt komputerowy)</t>
  </si>
  <si>
    <t xml:space="preserve">oraz rozbudowa infrastruktury teleinformatycznej w celu upowszechnienia </t>
  </si>
  <si>
    <t>Modernizacja centrów kształcenia zawodowego na Dolnym Śląsku</t>
  </si>
  <si>
    <t xml:space="preserve">Przebudowa ulic i dróg w powiązaniu z krajowym układem </t>
  </si>
  <si>
    <t>komunikacyjnym - Trasa 4 w Legnicy w tym ul. II Armii Wojska Polskiego</t>
  </si>
  <si>
    <t xml:space="preserve">Rozbudowa przewodów wentylacji grawitacyjnej mieszkań gminy </t>
  </si>
  <si>
    <t>nr 1, 4 i 7  w budynku wspólnoty mieszkaniowej przy ul. Skarbka 7</t>
  </si>
  <si>
    <t>Rozbudowa przewodów wentylacji grawitacyjnej w budynku gminy przy</t>
  </si>
  <si>
    <t>ul. Korczaka 2</t>
  </si>
  <si>
    <t>ul. Żwirki i Wigury 34</t>
  </si>
  <si>
    <t xml:space="preserve"> Rozbudowa przewodów wentylacji grawitacyjnej w budynku gminy przy</t>
  </si>
  <si>
    <t xml:space="preserve"> ul. Parkowej 2</t>
  </si>
  <si>
    <t xml:space="preserve">- zagospodarowanie oraz utworzenie estetycznych i funkcjonalnych </t>
  </si>
  <si>
    <t xml:space="preserve">  przestrzeni publicznych</t>
  </si>
  <si>
    <t xml:space="preserve">Południowo - Zachodni Szlak Cystersów - przebudowa (adaptacja) </t>
  </si>
  <si>
    <t xml:space="preserve">pomieszczeń  Bramy Głogowskiej dla potrzeb punktu informacji </t>
  </si>
  <si>
    <t>turystycznej</t>
  </si>
  <si>
    <t xml:space="preserve">zagospodarowaniem terenu na potrzeby Środowiskowego Centrum </t>
  </si>
  <si>
    <t>Integracyjno - Profilaktycznego</t>
  </si>
  <si>
    <t xml:space="preserve">- przebudowa (adaptacja) Willi Bolka von Richthofena wraz z </t>
  </si>
  <si>
    <t>i Koskowickiej w ramach projektu pn. "Rozwój aktywnych form</t>
  </si>
  <si>
    <t>Gospodarka ściekowa i ochrona wód</t>
  </si>
  <si>
    <t>Szkoła Podstawowa Nr 7 ul. Polarna 1 w Legnicy - Szkoła jak nowa -</t>
  </si>
  <si>
    <t xml:space="preserve">Budowa ścieżek rowerowych w Legnicy  - wzdłuż ul. Sudeckiej </t>
  </si>
  <si>
    <t xml:space="preserve"> turystyki w Subregionie Pogórza Kaczawskiego - w powiecie Jaworskim</t>
  </si>
  <si>
    <t>remont pasa włączenia i budowa parkingu przy ul. Sikorskiego w Legnicy</t>
  </si>
  <si>
    <t xml:space="preserve">Przebudowa zatoki autobusowej, chodnika i ścieżki rowerowej oraz </t>
  </si>
  <si>
    <t>na 2010</t>
  </si>
  <si>
    <t>ul. Heweliusza</t>
  </si>
  <si>
    <t>- zakup i instalacja infokiosków</t>
  </si>
  <si>
    <t>- wytyczenie pętli lokalnych i ich oznakowanie</t>
  </si>
  <si>
    <t xml:space="preserve">Modernizacja budynku przy ul. Pątnowskiej 23 – budowa instalacji gazowej </t>
  </si>
  <si>
    <t>i wentylacyjnej</t>
  </si>
  <si>
    <t>Wyodrębnienie lokali w granicach budynków przy ul. Rynek 16 i 17</t>
  </si>
  <si>
    <t>Obrona cywilna</t>
  </si>
  <si>
    <t>Zespół Szkół Samochodowych ul. Słubicka 7</t>
  </si>
  <si>
    <t>piłkarsko w Legnicy przy ul. Grabskiego 14 - dla potrzeb prowadzenia</t>
  </si>
  <si>
    <t xml:space="preserve">pozalekcyjnych zajęć sportowych przy Zespole Szkół Budowlanych </t>
  </si>
  <si>
    <t>dla dzieci i młodzieży jako elementu programów profilaktycznych</t>
  </si>
  <si>
    <t xml:space="preserve">Modernizacja bazy sportowej dla potrzeb dzieci i młodzieży przy Stadionie </t>
  </si>
  <si>
    <t>im. Orła Białego w Legnicy - dla potrzeb prowadzenia pozalekcyjnych zajęć</t>
  </si>
  <si>
    <t>sportowych dla dzieci i młodzieży jako elementu programów profilaktycznych</t>
  </si>
  <si>
    <t>świetlicy dla wychowanków Domu Dziecka</t>
  </si>
  <si>
    <t>Świetlica Terapeutyczna Nr 1 ul. Bracka 16</t>
  </si>
  <si>
    <t xml:space="preserve">- zakup kotła CO wraz z montażem - II etap, </t>
  </si>
  <si>
    <t xml:space="preserve">- zakup basenu do hydromasażu </t>
  </si>
  <si>
    <t>Ośrodek Opiekuńczy Nr 2 ul. Łukasińskiego 5</t>
  </si>
  <si>
    <t>Budowa separatora na wylocie Ø 1000 KD 19 ul. Jaworzyńska + klapa zwrotna</t>
  </si>
  <si>
    <t xml:space="preserve">Wylot KD 25 ul. Kartuska – montaż klapy oraz zasuwy i naprawa </t>
  </si>
  <si>
    <t>koryta odpływowego</t>
  </si>
  <si>
    <t>Doświetlenie przejść dla pieszych na terenie osiedla  Piekary</t>
  </si>
  <si>
    <t xml:space="preserve">Wykonanie przyłączy sieci wodno – kanalizacyjnej, hydrantowej i zaplecza </t>
  </si>
  <si>
    <t>Rozbudowa Stadionu Sportowego im. Orła Białego</t>
  </si>
  <si>
    <t>- zakup zmywarki</t>
  </si>
  <si>
    <t>Dom Dziecka ul.Wandy 10 - Wykonanie przybudówki w celu utworzenia</t>
  </si>
  <si>
    <t>Powiatowe centra pomocy rodzinie</t>
  </si>
  <si>
    <t>Zakup urządzenia wielofunkcyjnego</t>
  </si>
  <si>
    <t>Przebudowa skrzyżowania ul. Wrocławska / ul. Spokojna</t>
  </si>
  <si>
    <t>-  rewitalizacja elewacji i dachu budynku szkolnego</t>
  </si>
  <si>
    <t xml:space="preserve"> Zespół Szkół Elektryczno - Mechanicznych ul. Skarbka 4 </t>
  </si>
  <si>
    <t xml:space="preserve">socjalnego w Muzeum Bitwy Legnickiej  </t>
  </si>
  <si>
    <t>południowo-wschodniej Legnicy - dostawa i montaż tablic pamiątkowych</t>
  </si>
  <si>
    <t>8.</t>
  </si>
  <si>
    <t>45.</t>
  </si>
  <si>
    <t>51.</t>
  </si>
  <si>
    <t xml:space="preserve">Budowa dróg i parkingów oraz sieci kanalizacji sanitarnej i deszczowej </t>
  </si>
  <si>
    <t>na odcinku od ul. Nowodworskiej do ul. Pierwiosnków</t>
  </si>
  <si>
    <t>- przebudowa ul. Libana</t>
  </si>
  <si>
    <t>58.</t>
  </si>
  <si>
    <t>południowo - wschodniej Legnicy</t>
  </si>
  <si>
    <t>basenu</t>
  </si>
  <si>
    <t>zasilania budynku w ciepło</t>
  </si>
  <si>
    <t xml:space="preserve">Budowa przejścia dla pieszych w poziomie al. Piłsudskiego w rejonie </t>
  </si>
  <si>
    <t>Południowo - Zachodni Szlak Cystersów,  w tym:</t>
  </si>
  <si>
    <t>Muzeum Miedzi</t>
  </si>
  <si>
    <t xml:space="preserve">Ośrodek Opiekuńczy Nr 2 ul. Łukasińskiego 5 - wykonanie odrębnego </t>
  </si>
  <si>
    <t>modernizacja  infrastruktury dydaktycznej, w tym Etap I modernizacja</t>
  </si>
  <si>
    <t xml:space="preserve">Budowa systemu wykrywania i alarmowania oraz systemu wczesnego </t>
  </si>
  <si>
    <t>ostrzegania ludności o zagrożeniach w sytuacjach kryzysowych</t>
  </si>
  <si>
    <t xml:space="preserve">Odnowa zdegradowanych obszarów miejskich w rejonie  ul. H. Pobożnego </t>
  </si>
  <si>
    <t>Budowa zintegrowanego systemu zarządzania ruchem i transportem</t>
  </si>
  <si>
    <t>publicznym w mieście Legnica</t>
  </si>
  <si>
    <t>- dotacja WFOŚiGW</t>
  </si>
  <si>
    <t xml:space="preserve">- zakup systemu monitoringu wizyjnego </t>
  </si>
  <si>
    <t>Przebudowa ulic Bydgoskiej i Szczytnickiej</t>
  </si>
  <si>
    <t xml:space="preserve">Program Równe chodniki - modernizacja chodników wzdłuż ulic Senatorskiej </t>
  </si>
  <si>
    <t>i Mickiewicza</t>
  </si>
  <si>
    <t>Budowa zatoki autobusowej na ulicy Chojnowskiej na wysokości ulicy</t>
  </si>
  <si>
    <t>Ignacego Domejki</t>
  </si>
  <si>
    <t>Budowa poziomego przejścia dla pieszych przez ulicę Piłsudskiego w rejonie</t>
  </si>
  <si>
    <t>ulic Heweliusza i Galaktycznej</t>
  </si>
  <si>
    <t>Program Równe chodniki - modernizacja chodników wzdłuż ulic Pomorskiej,</t>
  </si>
  <si>
    <t>Remont ulicy Galaktycznej</t>
  </si>
  <si>
    <t>Budowa ulicy Wandy</t>
  </si>
  <si>
    <t>59.</t>
  </si>
  <si>
    <t>60.</t>
  </si>
  <si>
    <t>61.</t>
  </si>
  <si>
    <t>62.</t>
  </si>
  <si>
    <t>Przeniesienie pomnika Wdzięczności Armii Radzieckiej z placu Słowiańskiego</t>
  </si>
  <si>
    <t>na cmentarz komunalny w Legnicy przy ulicy Wrocławskiej</t>
  </si>
  <si>
    <t>63.</t>
  </si>
  <si>
    <t>64.</t>
  </si>
  <si>
    <t>65.</t>
  </si>
  <si>
    <t>66.</t>
  </si>
  <si>
    <t>67.</t>
  </si>
  <si>
    <t>Remont stadionu przy ulicy Grabskiego</t>
  </si>
  <si>
    <t>68.</t>
  </si>
  <si>
    <t>jednostek niezaliczanych do sektora finansów publicznych</t>
  </si>
  <si>
    <t>kosztów realizacji inwestycji i zakupów inwestycyjnych</t>
  </si>
  <si>
    <t>oraz miastach Legnica, Złotoryja, Jawor i gminie Świerzawa"</t>
  </si>
  <si>
    <t>Galaktycznej, Poselskiej</t>
  </si>
  <si>
    <t xml:space="preserve">Dotacje celowe z budżetu na finansowanie lub </t>
  </si>
  <si>
    <t>REALIZACJA  INWESTYCJI I ZAKUPÓW INWESTYCYJNYCH</t>
  </si>
  <si>
    <t>po zmianach</t>
  </si>
  <si>
    <t>%</t>
  </si>
  <si>
    <t>(11:10)</t>
  </si>
  <si>
    <t>12</t>
  </si>
  <si>
    <t>10</t>
  </si>
  <si>
    <t>11</t>
  </si>
  <si>
    <t>Przebudowa ulicy Galaktycznej</t>
  </si>
  <si>
    <t xml:space="preserve">Program Równe chodniki - przebudowa chodników wzdłuż ulic Senatorskiej </t>
  </si>
  <si>
    <t>Program Równe chodniki - przebudowa chodników wzdłuż ulic Pomorskiej,</t>
  </si>
  <si>
    <t>Program Równe chodniki - przebudowa chodnika wzdłuż ul. Radosnej</t>
  </si>
  <si>
    <t>od nr 14 do nr 58</t>
  </si>
  <si>
    <t>Oświetlenie ulicy Zielnej</t>
  </si>
  <si>
    <t xml:space="preserve">Wymiana pokrycia dachowego wraz z przebudową stropodachu budynku </t>
  </si>
  <si>
    <t>przedszkola "Tęczowy Zakątek" przy ul. Witkiewicza 4</t>
  </si>
  <si>
    <t xml:space="preserve">basenu - wykonanie nowej technologii uzdatniania wody dla basenów </t>
  </si>
  <si>
    <t>i wentylacji mechanicznej</t>
  </si>
  <si>
    <t>modernizacja  infrastruktury dydaktycznej, w tym: Etap I - modernizacja</t>
  </si>
  <si>
    <t>69.</t>
  </si>
  <si>
    <t>70.</t>
  </si>
  <si>
    <t>Doświetlenie przejść dla pieszych na terenie miasta w ramach Programu</t>
  </si>
  <si>
    <t>bezpiecznych przejść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</si>
  <si>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</si>
  <si>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</si>
  <si>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</si>
  <si>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</si>
  <si>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</si>
  <si>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</si>
  <si>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</si>
  <si>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</si>
  <si>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</si>
  <si>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</si>
  <si>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48.</t>
  </si>
  <si>
    <t>Komendy powiatowe Państwowej Straży Pożarnej</t>
  </si>
  <si>
    <t>Komenda Miejska Państwowej Straży Pożarnej</t>
  </si>
  <si>
    <t>Zadania zlecone:</t>
  </si>
  <si>
    <t xml:space="preserve">"Zakup i wymiana sprzętu transportowego" w ramach "Programu </t>
  </si>
  <si>
    <t xml:space="preserve"> modernizacji Policji, Straży Granicznej, Państwowej Straży Pożarnej i Biura </t>
  </si>
  <si>
    <t>Ochrony Rządu w latach 2007-2011"</t>
  </si>
  <si>
    <t>18.</t>
  </si>
  <si>
    <t>82.</t>
  </si>
  <si>
    <t>Wykonanie</t>
  </si>
  <si>
    <t xml:space="preserve">Przebudowa ulic: Bydgoskiej (od Lubińskiej do Szczytnickiej) </t>
  </si>
  <si>
    <t>i Szczytnickiej w tym:</t>
  </si>
  <si>
    <t>Etap I od ul. Lubińskiej do Szczytnickiej</t>
  </si>
  <si>
    <t>Przebudowa kanalizacji deszczowej w ulicy Galileusza</t>
  </si>
  <si>
    <t>Turystyka</t>
  </si>
  <si>
    <t>Zadania w zakresie upowszechniania turystyki</t>
  </si>
  <si>
    <t>Dotacje celowe przekazane do samorządu województwa na inwestycje</t>
  </si>
  <si>
    <t xml:space="preserve"> i zakupy inwestycyjne realizowane na podstawie porozumień (umów) między </t>
  </si>
  <si>
    <t>jednostkami samorządu terytorialnego</t>
  </si>
  <si>
    <t xml:space="preserve">Przebudowa ulic gruntowych na osiedlu Piekary Wielkie w powiązaniu </t>
  </si>
  <si>
    <t>z drogą krajową  94 - ulica Wandy i V Dywizji Piechoty</t>
  </si>
  <si>
    <t>Południowo - Zachodni Szlak Cystersów, w tym</t>
  </si>
  <si>
    <t xml:space="preserve"> - zadania sieciowe realizowane przez Lidera projektu</t>
  </si>
  <si>
    <t xml:space="preserve">zagospodarowanie oraz utworzenie estetycznych i funkcjonalnych </t>
  </si>
  <si>
    <t>Odnowa zdegradowanych obszarów miejskich w rejonie ul. H. Pobożnego -</t>
  </si>
  <si>
    <t>Przedszkola</t>
  </si>
  <si>
    <t xml:space="preserve">Miejskie Przedszkole Nr 9 ul. Ciołkowskiego 1 </t>
  </si>
  <si>
    <t xml:space="preserve"> - zakup i montaż systemu alarmowego i monitoringu</t>
  </si>
  <si>
    <t>Szkoły artystyczne</t>
  </si>
  <si>
    <t xml:space="preserve">Zespół Szkół Muzycznych ul. Roosevelta 26 </t>
  </si>
  <si>
    <t xml:space="preserve"> - zakup i instalacja zestawów do monitoringu wizyjnego</t>
  </si>
  <si>
    <t>Dom Pomocy Społecznej dla Dorosłych ul. Grabskiego 11</t>
  </si>
  <si>
    <t xml:space="preserve"> - zakup i montaż kotła gazowego co</t>
  </si>
  <si>
    <t>83.</t>
  </si>
  <si>
    <t>84.</t>
  </si>
  <si>
    <t>85.</t>
  </si>
  <si>
    <t>86.</t>
  </si>
  <si>
    <t>87.</t>
  </si>
  <si>
    <t>Budowa oświetlenia ulicznego w obrębie geodezyjnym Kartuzy</t>
  </si>
  <si>
    <t>88.</t>
  </si>
  <si>
    <t>89.</t>
  </si>
  <si>
    <t>90.</t>
  </si>
  <si>
    <t>91.</t>
  </si>
  <si>
    <t>Zakup i montaż 4 sztuk wiat przystankowych</t>
  </si>
  <si>
    <t>92.</t>
  </si>
  <si>
    <t>93.</t>
  </si>
  <si>
    <t>94.</t>
  </si>
  <si>
    <t xml:space="preserve">Wykonanie przyłączy sieci wodno - kanalizacyjnej, hydrantowej </t>
  </si>
  <si>
    <t>95.</t>
  </si>
  <si>
    <t>96.</t>
  </si>
  <si>
    <t>97.</t>
  </si>
  <si>
    <t>98.</t>
  </si>
  <si>
    <t>99.</t>
  </si>
  <si>
    <t>100.</t>
  </si>
  <si>
    <t xml:space="preserve"> Rozbiórka dawnego budynku szaletu miejskiego przy ulicy Wierzyńskiego</t>
  </si>
  <si>
    <t xml:space="preserve">oraz instalacji sanitarnej wraz z pomieszczeniem WC w Muzeum Bitwy </t>
  </si>
  <si>
    <t xml:space="preserve">Legnickiej  </t>
  </si>
  <si>
    <t>- dotacja celowa z budżetu państwa</t>
  </si>
  <si>
    <t>Wykonanie przybudówki w celu utworzenia</t>
  </si>
  <si>
    <t>81.</t>
  </si>
  <si>
    <t>101.</t>
  </si>
  <si>
    <t>102.</t>
  </si>
  <si>
    <t xml:space="preserve"> Skarbnik Miasta </t>
  </si>
  <si>
    <t>Prezydent Miasta</t>
  </si>
  <si>
    <t>Grażyna Nikodem</t>
  </si>
  <si>
    <t>Tadeusz Krzakowski</t>
  </si>
  <si>
    <t>Tabela nr 3</t>
  </si>
  <si>
    <t xml:space="preserve">- 2 - </t>
  </si>
  <si>
    <t xml:space="preserve">- 3 - </t>
  </si>
  <si>
    <t xml:space="preserve">- 4 - </t>
  </si>
  <si>
    <t xml:space="preserve">- 5 - </t>
  </si>
  <si>
    <t xml:space="preserve">- 6 - </t>
  </si>
  <si>
    <t xml:space="preserve">- 7 - </t>
  </si>
  <si>
    <t xml:space="preserve">- 8 - </t>
  </si>
  <si>
    <t xml:space="preserve">W OKRESIE OD 1 STYCZNIA DO 30 CZERWCA  2010  ROKU </t>
  </si>
  <si>
    <t>przestrzeni publicznych</t>
  </si>
  <si>
    <t xml:space="preserve">Zakup samochodu pożarniczego w związku z realizacją przedsięwzięcia </t>
  </si>
  <si>
    <t>inwestycyjnych samorządowych zakładów budżetowych</t>
  </si>
  <si>
    <t xml:space="preserve">Odprowadzenie wód opadowych i roztopowych z obwodnicy zachodniej </t>
  </si>
  <si>
    <t>miasta Legnicy do rowu K-11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</si>
</sst>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" fontId="4" fillId="1" borderId="10" xfId="0" applyNumberFormat="1" applyFont="1" applyFill="1" applyBorder="1" applyAlignment="1">
      <alignment horizontal="center" vertical="center"/>
    </xf>
    <xf numFmtId="1" fontId="4" fillId="1" borderId="10" xfId="0" applyNumberFormat="1" applyFont="1" applyFill="1" applyBorder="1" applyAlignment="1">
      <alignment horizontal="center"/>
    </xf>
    <xf numFmtId="4" fontId="4" fillId="1" borderId="10" xfId="0" applyNumberFormat="1" applyFont="1" applyFill="1" applyBorder="1" applyAlignment="1">
      <alignment horizontal="center" vertical="center"/>
    </xf>
    <xf numFmtId="1" fontId="4" fillId="1" borderId="11" xfId="0" applyNumberFormat="1" applyFont="1" applyFill="1" applyBorder="1" applyAlignment="1">
      <alignment horizontal="center" vertical="center"/>
    </xf>
    <xf numFmtId="1" fontId="4" fillId="1" borderId="11" xfId="0" applyNumberFormat="1" applyFont="1" applyFill="1" applyBorder="1" applyAlignment="1">
      <alignment horizontal="center"/>
    </xf>
    <xf numFmtId="1" fontId="4" fillId="1" borderId="12" xfId="0" applyNumberFormat="1" applyFont="1" applyFill="1" applyBorder="1" applyAlignment="1">
      <alignment horizontal="center"/>
    </xf>
    <xf numFmtId="4" fontId="4" fillId="1" borderId="11" xfId="0" applyNumberFormat="1" applyFont="1" applyFill="1" applyBorder="1" applyAlignment="1">
      <alignment horizontal="center" vertical="center"/>
    </xf>
    <xf numFmtId="1" fontId="4" fillId="1" borderId="12" xfId="0" applyNumberFormat="1" applyFont="1" applyFill="1" applyBorder="1" applyAlignment="1" quotePrefix="1">
      <alignment horizontal="center"/>
    </xf>
    <xf numFmtId="3" fontId="4" fillId="1" borderId="12" xfId="0" applyNumberFormat="1" applyFont="1" applyFill="1" applyBorder="1" applyAlignment="1" quotePrefix="1">
      <alignment horizontal="center"/>
    </xf>
    <xf numFmtId="4" fontId="4" fillId="1" borderId="12" xfId="0" applyNumberFormat="1" applyFont="1" applyFill="1" applyBorder="1" applyAlignment="1" quotePrefix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" fontId="5" fillId="0" borderId="15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1" fontId="5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5" fillId="0" borderId="16" xfId="52" applyFont="1" applyBorder="1" applyAlignment="1">
      <alignment horizontal="left" vertical="top"/>
      <protection/>
    </xf>
    <xf numFmtId="0" fontId="8" fillId="33" borderId="16" xfId="0" applyFont="1" applyFill="1" applyBorder="1" applyAlignment="1" quotePrefix="1">
      <alignment horizontal="center"/>
    </xf>
    <xf numFmtId="0" fontId="5" fillId="0" borderId="15" xfId="52" applyFont="1" applyBorder="1" applyAlignment="1">
      <alignment horizontal="left" vertical="top"/>
      <protection/>
    </xf>
    <xf numFmtId="0" fontId="8" fillId="33" borderId="15" xfId="0" applyFont="1" applyFill="1" applyBorder="1" applyAlignment="1" quotePrefix="1">
      <alignment horizontal="center"/>
    </xf>
    <xf numFmtId="0" fontId="5" fillId="0" borderId="17" xfId="52" applyFont="1" applyBorder="1" applyAlignment="1">
      <alignment horizontal="left" vertical="top"/>
      <protection/>
    </xf>
    <xf numFmtId="0" fontId="8" fillId="33" borderId="17" xfId="0" applyFont="1" applyFill="1" applyBorder="1" applyAlignment="1" quotePrefix="1">
      <alignment horizontal="center"/>
    </xf>
    <xf numFmtId="1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0" fontId="8" fillId="33" borderId="14" xfId="0" applyFont="1" applyFill="1" applyBorder="1" applyAlignment="1" quotePrefix="1">
      <alignment horizontal="center"/>
    </xf>
    <xf numFmtId="1" fontId="7" fillId="0" borderId="1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/>
    </xf>
    <xf numFmtId="1" fontId="7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" fontId="7" fillId="0" borderId="16" xfId="0" applyNumberFormat="1" applyFont="1" applyBorder="1" applyAlignment="1">
      <alignment horizontal="justify"/>
    </xf>
    <xf numFmtId="1" fontId="7" fillId="0" borderId="16" xfId="0" applyNumberFormat="1" applyFont="1" applyBorder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1" fontId="6" fillId="0" borderId="17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/>
    </xf>
    <xf numFmtId="0" fontId="5" fillId="0" borderId="15" xfId="52" applyFont="1" applyBorder="1" applyAlignment="1">
      <alignment vertical="top"/>
      <protection/>
    </xf>
    <xf numFmtId="1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0" fontId="8" fillId="0" borderId="16" xfId="0" applyFont="1" applyBorder="1" applyAlignment="1">
      <alignment horizontal="left"/>
    </xf>
    <xf numFmtId="4" fontId="5" fillId="0" borderId="16" xfId="52" applyNumberFormat="1" applyFont="1" applyFill="1" applyBorder="1" applyAlignment="1">
      <alignment horizontal="right"/>
      <protection/>
    </xf>
    <xf numFmtId="0" fontId="8" fillId="0" borderId="15" xfId="0" applyFont="1" applyBorder="1" applyAlignment="1">
      <alignment horizontal="left"/>
    </xf>
    <xf numFmtId="0" fontId="8" fillId="0" borderId="15" xfId="0" applyFont="1" applyFill="1" applyBorder="1" applyAlignment="1" quotePrefix="1">
      <alignment horizontal="left" vertical="center"/>
    </xf>
    <xf numFmtId="1" fontId="4" fillId="33" borderId="14" xfId="0" applyNumberFormat="1" applyFont="1" applyFill="1" applyBorder="1" applyAlignment="1" quotePrefix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" fontId="4" fillId="33" borderId="14" xfId="0" applyNumberFormat="1" applyFont="1" applyFill="1" applyBorder="1" applyAlignment="1" quotePrefix="1">
      <alignment horizontal="center"/>
    </xf>
    <xf numFmtId="4" fontId="4" fillId="33" borderId="14" xfId="0" applyNumberFormat="1" applyFont="1" applyFill="1" applyBorder="1" applyAlignment="1" quotePrefix="1">
      <alignment horizontal="right"/>
    </xf>
    <xf numFmtId="4" fontId="5" fillId="33" borderId="14" xfId="0" applyNumberFormat="1" applyFont="1" applyFill="1" applyBorder="1" applyAlignment="1" quotePrefix="1">
      <alignment horizontal="right"/>
    </xf>
    <xf numFmtId="1" fontId="6" fillId="33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3" fontId="6" fillId="33" borderId="15" xfId="0" applyNumberFormat="1" applyFont="1" applyFill="1" applyBorder="1" applyAlignment="1" quotePrefix="1">
      <alignment horizontal="center"/>
    </xf>
    <xf numFmtId="4" fontId="6" fillId="33" borderId="15" xfId="0" applyNumberFormat="1" applyFont="1" applyFill="1" applyBorder="1" applyAlignment="1" quotePrefix="1">
      <alignment horizontal="right"/>
    </xf>
    <xf numFmtId="4" fontId="7" fillId="33" borderId="15" xfId="0" applyNumberFormat="1" applyFont="1" applyFill="1" applyBorder="1" applyAlignment="1" quotePrefix="1">
      <alignment horizontal="right"/>
    </xf>
    <xf numFmtId="1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8" fillId="0" borderId="15" xfId="0" applyFont="1" applyBorder="1" applyAlignment="1" quotePrefix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4" fontId="4" fillId="1" borderId="12" xfId="0" applyNumberFormat="1" applyFont="1" applyFill="1" applyBorder="1" applyAlignment="1" quotePrefix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17" xfId="0" applyNumberFormat="1" applyFont="1" applyBorder="1" applyAlignment="1">
      <alignment horizontal="left"/>
    </xf>
    <xf numFmtId="1" fontId="7" fillId="0" borderId="14" xfId="0" applyNumberFormat="1" applyFont="1" applyBorder="1" applyAlignment="1" quotePrefix="1">
      <alignment horizontal="left"/>
    </xf>
    <xf numFmtId="1" fontId="5" fillId="0" borderId="16" xfId="0" applyNumberFormat="1" applyFont="1" applyBorder="1" applyAlignment="1">
      <alignment horizontal="left"/>
    </xf>
    <xf numFmtId="0" fontId="9" fillId="33" borderId="14" xfId="0" applyFont="1" applyFill="1" applyBorder="1" applyAlignment="1" quotePrefix="1">
      <alignment horizontal="center"/>
    </xf>
    <xf numFmtId="4" fontId="5" fillId="0" borderId="12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8" fillId="0" borderId="15" xfId="0" applyFont="1" applyBorder="1" applyAlignment="1">
      <alignment vertical="top"/>
    </xf>
    <xf numFmtId="4" fontId="4" fillId="0" borderId="15" xfId="0" applyNumberFormat="1" applyFont="1" applyBorder="1" applyAlignment="1">
      <alignment/>
    </xf>
    <xf numFmtId="0" fontId="8" fillId="0" borderId="17" xfId="0" applyFont="1" applyBorder="1" applyAlignment="1">
      <alignment vertical="top"/>
    </xf>
    <xf numFmtId="4" fontId="4" fillId="1" borderId="12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1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1" fontId="4" fillId="33" borderId="0" xfId="0" applyNumberFormat="1" applyFont="1" applyFill="1" applyBorder="1" applyAlignment="1" quotePrefix="1">
      <alignment horizontal="center"/>
    </xf>
    <xf numFmtId="4" fontId="4" fillId="33" borderId="0" xfId="0" applyNumberFormat="1" applyFont="1" applyFill="1" applyBorder="1" applyAlignment="1" quotePrefix="1">
      <alignment horizontal="right"/>
    </xf>
    <xf numFmtId="4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wrapText="1"/>
    </xf>
    <xf numFmtId="1" fontId="5" fillId="0" borderId="19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" fontId="5" fillId="0" borderId="16" xfId="0" applyNumberFormat="1" applyFont="1" applyBorder="1" applyAlignment="1" quotePrefix="1">
      <alignment/>
    </xf>
    <xf numFmtId="0" fontId="49" fillId="0" borderId="0" xfId="0" applyFont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 quotePrefix="1">
      <alignment/>
    </xf>
    <xf numFmtId="0" fontId="49" fillId="0" borderId="14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7" xfId="0" applyNumberFormat="1" applyFont="1" applyBorder="1" applyAlignment="1" quotePrefix="1">
      <alignment/>
    </xf>
    <xf numFmtId="1" fontId="5" fillId="0" borderId="19" xfId="0" applyNumberFormat="1" applyFont="1" applyBorder="1" applyAlignment="1" quotePrefix="1">
      <alignment/>
    </xf>
    <xf numFmtId="1" fontId="5" fillId="0" borderId="15" xfId="0" applyNumberFormat="1" applyFont="1" applyBorder="1" applyAlignment="1">
      <alignment/>
    </xf>
    <xf numFmtId="1" fontId="5" fillId="0" borderId="15" xfId="0" applyNumberFormat="1" applyFont="1" applyBorder="1" applyAlignment="1" quotePrefix="1">
      <alignment/>
    </xf>
    <xf numFmtId="1" fontId="4" fillId="0" borderId="12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0" fontId="5" fillId="0" borderId="16" xfId="52" applyFont="1" applyBorder="1" applyAlignment="1">
      <alignment/>
      <protection/>
    </xf>
    <xf numFmtId="0" fontId="5" fillId="0" borderId="15" xfId="52" applyFont="1" applyBorder="1" applyAlignment="1">
      <alignment/>
      <protection/>
    </xf>
    <xf numFmtId="0" fontId="5" fillId="0" borderId="17" xfId="52" applyFont="1" applyBorder="1" applyAlignment="1">
      <alignment/>
      <protection/>
    </xf>
    <xf numFmtId="0" fontId="50" fillId="0" borderId="14" xfId="0" applyFont="1" applyBorder="1" applyAlignment="1">
      <alignment/>
    </xf>
    <xf numFmtId="0" fontId="49" fillId="0" borderId="11" xfId="0" applyFont="1" applyBorder="1" applyAlignment="1">
      <alignment/>
    </xf>
    <xf numFmtId="0" fontId="8" fillId="0" borderId="17" xfId="0" applyFont="1" applyFill="1" applyBorder="1" applyAlignment="1" quotePrefix="1">
      <alignment horizontal="left" vertical="center"/>
    </xf>
    <xf numFmtId="1" fontId="6" fillId="0" borderId="14" xfId="0" applyNumberFormat="1" applyFont="1" applyBorder="1" applyAlignment="1" quotePrefix="1">
      <alignment/>
    </xf>
    <xf numFmtId="0" fontId="5" fillId="0" borderId="15" xfId="0" applyFont="1" applyBorder="1" applyAlignment="1" quotePrefix="1">
      <alignment/>
    </xf>
    <xf numFmtId="0" fontId="6" fillId="0" borderId="14" xfId="0" applyFont="1" applyBorder="1" applyAlignment="1" quotePrefix="1">
      <alignment/>
    </xf>
    <xf numFmtId="1" fontId="7" fillId="0" borderId="17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0" fontId="49" fillId="0" borderId="17" xfId="0" applyFont="1" applyBorder="1" applyAlignment="1">
      <alignment/>
    </xf>
    <xf numFmtId="1" fontId="4" fillId="0" borderId="14" xfId="0" applyNumberFormat="1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8" xfId="0" applyFont="1" applyBorder="1" applyAlignment="1">
      <alignment/>
    </xf>
    <xf numFmtId="0" fontId="5" fillId="1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4" fontId="4" fillId="0" borderId="0" xfId="0" applyNumberFormat="1" applyFont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3" fontId="4" fillId="1" borderId="20" xfId="0" applyNumberFormat="1" applyFont="1" applyFill="1" applyBorder="1" applyAlignment="1">
      <alignment horizontal="center"/>
    </xf>
    <xf numFmtId="3" fontId="4" fillId="1" borderId="21" xfId="0" applyNumberFormat="1" applyFont="1" applyFill="1" applyBorder="1" applyAlignment="1">
      <alignment horizontal="center"/>
    </xf>
    <xf numFmtId="3" fontId="4" fillId="1" borderId="22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 quotePrefix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PI poprawiane2008-2010 do 17.07 oddane skabonce 29.08.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9"/>
  <sheetViews>
    <sheetView tabSelected="1" zoomScalePageLayoutView="0" workbookViewId="0" topLeftCell="A326">
      <selection activeCell="L67" sqref="L67"/>
    </sheetView>
  </sheetViews>
  <sheetFormatPr defaultColWidth="9.140625" defaultRowHeight="12.75"/>
  <cols>
    <col min="1" max="1" width="3.8515625" style="3" customWidth="1"/>
    <col min="2" max="2" width="58.421875" style="161" customWidth="1"/>
    <col min="3" max="3" width="6.421875" style="3" customWidth="1"/>
    <col min="4" max="4" width="5.140625" style="3" customWidth="1"/>
    <col min="5" max="5" width="9.28125" style="3" customWidth="1"/>
    <col min="6" max="6" width="11.8515625" style="4" customWidth="1"/>
    <col min="7" max="7" width="12.00390625" style="112" customWidth="1"/>
    <col min="8" max="8" width="12.28125" style="112" customWidth="1"/>
    <col min="9" max="9" width="12.421875" style="112" customWidth="1"/>
    <col min="10" max="11" width="12.57421875" style="112" customWidth="1"/>
    <col min="12" max="12" width="6.421875" style="4" customWidth="1"/>
    <col min="13" max="13" width="17.00390625" style="4" customWidth="1"/>
    <col min="14" max="16384" width="9.140625" style="4" customWidth="1"/>
  </cols>
  <sheetData>
    <row r="1" spans="7:11" ht="12.75">
      <c r="G1" s="1"/>
      <c r="H1" s="1"/>
      <c r="I1" s="1"/>
      <c r="J1" s="1"/>
      <c r="K1" s="1" t="s">
        <v>349</v>
      </c>
    </row>
    <row r="2" spans="7:11" ht="12.75">
      <c r="G2" s="1"/>
      <c r="H2" s="1"/>
      <c r="I2" s="1"/>
      <c r="J2" s="1"/>
      <c r="K2" s="1"/>
    </row>
    <row r="3" spans="1:12" s="5" customFormat="1" ht="12.75" customHeight="1">
      <c r="A3" s="211" t="s">
        <v>251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s="5" customFormat="1" ht="12.75" customHeight="1">
      <c r="A4" s="212" t="s">
        <v>357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1" ht="13.5" thickBot="1">
      <c r="A5" s="6"/>
      <c r="B5" s="162"/>
      <c r="C5" s="6"/>
      <c r="D5" s="6"/>
      <c r="E5" s="6"/>
      <c r="F5" s="8"/>
      <c r="G5" s="8"/>
      <c r="H5" s="9"/>
      <c r="I5" s="9"/>
      <c r="J5" s="9"/>
      <c r="K5" s="9"/>
    </row>
    <row r="6" spans="1:12" s="5" customFormat="1" ht="12.75" customHeight="1" thickBot="1">
      <c r="A6" s="10" t="s">
        <v>0</v>
      </c>
      <c r="B6" s="10" t="s">
        <v>1</v>
      </c>
      <c r="C6" s="11" t="s">
        <v>2</v>
      </c>
      <c r="D6" s="11" t="s">
        <v>4</v>
      </c>
      <c r="E6" s="11" t="s">
        <v>5</v>
      </c>
      <c r="F6" s="213" t="s">
        <v>6</v>
      </c>
      <c r="G6" s="214"/>
      <c r="H6" s="215"/>
      <c r="I6" s="12" t="s">
        <v>7</v>
      </c>
      <c r="J6" s="12" t="s">
        <v>7</v>
      </c>
      <c r="K6" s="12" t="s">
        <v>292</v>
      </c>
      <c r="L6" s="12" t="s">
        <v>253</v>
      </c>
    </row>
    <row r="7" spans="1:12" s="5" customFormat="1" ht="12.75" customHeight="1" thickBot="1">
      <c r="A7" s="13"/>
      <c r="B7" s="13"/>
      <c r="C7" s="14" t="s">
        <v>3</v>
      </c>
      <c r="D7" s="14"/>
      <c r="E7" s="14" t="s">
        <v>101</v>
      </c>
      <c r="F7" s="15">
        <v>2007</v>
      </c>
      <c r="G7" s="15">
        <v>2008</v>
      </c>
      <c r="H7" s="15">
        <v>2009</v>
      </c>
      <c r="I7" s="16" t="s">
        <v>166</v>
      </c>
      <c r="J7" s="16" t="s">
        <v>252</v>
      </c>
      <c r="K7" s="16"/>
      <c r="L7" s="16" t="s">
        <v>254</v>
      </c>
    </row>
    <row r="8" spans="1:12" s="5" customFormat="1" ht="13.5" thickBot="1">
      <c r="A8" s="17" t="s">
        <v>8</v>
      </c>
      <c r="B8" s="17" t="s">
        <v>9</v>
      </c>
      <c r="C8" s="17" t="s">
        <v>10</v>
      </c>
      <c r="D8" s="17" t="s">
        <v>11</v>
      </c>
      <c r="E8" s="17" t="s">
        <v>12</v>
      </c>
      <c r="F8" s="18" t="s">
        <v>13</v>
      </c>
      <c r="G8" s="19" t="s">
        <v>14</v>
      </c>
      <c r="H8" s="19" t="s">
        <v>15</v>
      </c>
      <c r="I8" s="19" t="s">
        <v>129</v>
      </c>
      <c r="J8" s="19" t="s">
        <v>256</v>
      </c>
      <c r="K8" s="19" t="s">
        <v>257</v>
      </c>
      <c r="L8" s="19" t="s">
        <v>255</v>
      </c>
    </row>
    <row r="9" spans="1:12" s="5" customFormat="1" ht="12.75" customHeight="1" thickBot="1">
      <c r="A9" s="20"/>
      <c r="B9" s="21" t="s">
        <v>16</v>
      </c>
      <c r="C9" s="20">
        <v>600</v>
      </c>
      <c r="D9" s="20"/>
      <c r="E9" s="20"/>
      <c r="F9" s="22">
        <f aca="true" t="shared" si="0" ref="F9:K9">SUM(F10,F76,)</f>
        <v>561705</v>
      </c>
      <c r="G9" s="22">
        <f t="shared" si="0"/>
        <v>8324355</v>
      </c>
      <c r="H9" s="22">
        <f t="shared" si="0"/>
        <v>23608700</v>
      </c>
      <c r="I9" s="22">
        <f t="shared" si="0"/>
        <v>30020100</v>
      </c>
      <c r="J9" s="22">
        <f t="shared" si="0"/>
        <v>30464812</v>
      </c>
      <c r="K9" s="22">
        <f t="shared" si="0"/>
        <v>7160512.34</v>
      </c>
      <c r="L9" s="22">
        <f>K9/J9*100</f>
        <v>23.504206558044736</v>
      </c>
    </row>
    <row r="10" spans="1:12" s="25" customFormat="1" ht="12.75" customHeight="1">
      <c r="A10" s="23"/>
      <c r="B10" s="163" t="s">
        <v>17</v>
      </c>
      <c r="C10" s="23">
        <v>60015</v>
      </c>
      <c r="D10" s="23"/>
      <c r="E10" s="23"/>
      <c r="F10" s="24">
        <f>SUM(F11,F62,F67)</f>
        <v>381705</v>
      </c>
      <c r="G10" s="24">
        <f>SUM(G11,G62,G67)</f>
        <v>4266447</v>
      </c>
      <c r="H10" s="24">
        <f>SUM(H11,H62,H67)</f>
        <v>12306700</v>
      </c>
      <c r="I10" s="24">
        <f>SUM(I11,I62,I67)</f>
        <v>16038700</v>
      </c>
      <c r="J10" s="24">
        <f>SUM(J11,J53,J62,J67)</f>
        <v>14470500</v>
      </c>
      <c r="K10" s="24">
        <f>SUM(K11,K53,K62,K67)</f>
        <v>2753762.72</v>
      </c>
      <c r="L10" s="69">
        <f>K10/J10*100</f>
        <v>19.030183614940743</v>
      </c>
    </row>
    <row r="11" spans="1:12" s="28" customFormat="1" ht="12.75">
      <c r="A11" s="26"/>
      <c r="B11" s="164" t="s">
        <v>18</v>
      </c>
      <c r="C11" s="26"/>
      <c r="D11" s="26">
        <v>6050</v>
      </c>
      <c r="E11" s="26"/>
      <c r="F11" s="27">
        <f>SUM(F14,F16,F18,F22,F24,F26,F28,F30,F31,F35,F36)</f>
        <v>381705</v>
      </c>
      <c r="G11" s="27">
        <f>SUM(G14,G16,G18,G22,G24,G26,G28,G30,G31,G35,G36)</f>
        <v>4266447</v>
      </c>
      <c r="H11" s="27">
        <f>SUM(H14,H16,H18,H22,H24,H26,H28,H30,H31,H35,H36)</f>
        <v>2064366</v>
      </c>
      <c r="I11" s="27">
        <f>SUM(I14,I16,I18,I22,I24,I26,I28,I30,I31,I35,I36,I37,I39,I41,I43)</f>
        <v>13220287.780000001</v>
      </c>
      <c r="J11" s="27">
        <f>SUM(J14,J16,J18,J22,J24,J26,J28,J30,J31,J35,J36,J37,J39,J41,J43,J45,J46)</f>
        <v>10651178.07</v>
      </c>
      <c r="K11" s="27">
        <f>SUM(K14,K16,K18,K22,K24,K26,K28,K30,K31,K35,K36,K37,K39,K41,K43,K45,K46)</f>
        <v>900893.5599999999</v>
      </c>
      <c r="L11" s="27">
        <f>K11/J11*100</f>
        <v>8.458158844770868</v>
      </c>
    </row>
    <row r="12" spans="1:12" ht="12.75">
      <c r="A12" s="29" t="s">
        <v>115</v>
      </c>
      <c r="B12" s="30" t="s">
        <v>104</v>
      </c>
      <c r="C12" s="29"/>
      <c r="D12" s="29"/>
      <c r="E12" s="29">
        <v>2007</v>
      </c>
      <c r="F12" s="31"/>
      <c r="G12" s="31"/>
      <c r="H12" s="31"/>
      <c r="I12" s="31"/>
      <c r="J12" s="31"/>
      <c r="K12" s="31"/>
      <c r="L12" s="37"/>
    </row>
    <row r="13" spans="1:12" ht="12.75">
      <c r="A13" s="29"/>
      <c r="B13" s="32" t="s">
        <v>112</v>
      </c>
      <c r="C13" s="29"/>
      <c r="D13" s="29"/>
      <c r="E13" s="29"/>
      <c r="F13" s="31"/>
      <c r="G13" s="31"/>
      <c r="H13" s="31"/>
      <c r="I13" s="31"/>
      <c r="J13" s="31"/>
      <c r="K13" s="31"/>
      <c r="L13" s="31"/>
    </row>
    <row r="14" spans="1:12" ht="12.75">
      <c r="A14" s="29"/>
      <c r="B14" s="33" t="s">
        <v>105</v>
      </c>
      <c r="C14" s="29"/>
      <c r="D14" s="29"/>
      <c r="E14" s="34"/>
      <c r="F14" s="31">
        <v>55368</v>
      </c>
      <c r="G14" s="35">
        <v>76880</v>
      </c>
      <c r="H14" s="35">
        <f>100000-80000</f>
        <v>20000</v>
      </c>
      <c r="I14" s="35">
        <f>100000+1600</f>
        <v>101600</v>
      </c>
      <c r="J14" s="35">
        <f>100000+1600</f>
        <v>101600</v>
      </c>
      <c r="K14" s="35"/>
      <c r="L14" s="35"/>
    </row>
    <row r="15" spans="1:12" ht="12.75">
      <c r="A15" s="36" t="s">
        <v>116</v>
      </c>
      <c r="B15" s="30" t="s">
        <v>102</v>
      </c>
      <c r="C15" s="36"/>
      <c r="D15" s="36"/>
      <c r="E15" s="29">
        <v>2005</v>
      </c>
      <c r="F15" s="37"/>
      <c r="G15" s="37"/>
      <c r="H15" s="37"/>
      <c r="I15" s="37"/>
      <c r="J15" s="37"/>
      <c r="K15" s="37"/>
      <c r="L15" s="37"/>
    </row>
    <row r="16" spans="1:12" ht="12.75">
      <c r="A16" s="34"/>
      <c r="B16" s="33" t="s">
        <v>208</v>
      </c>
      <c r="C16" s="34"/>
      <c r="D16" s="34"/>
      <c r="E16" s="34"/>
      <c r="F16" s="35">
        <v>20000</v>
      </c>
      <c r="G16" s="35">
        <v>2987488</v>
      </c>
      <c r="H16" s="35">
        <f>642405.07-175000-299791.53+53052.46</f>
        <v>220665.9999999999</v>
      </c>
      <c r="I16" s="35">
        <f>774848.71-30208.47+584000+47.54</f>
        <v>1328687.78</v>
      </c>
      <c r="J16" s="35">
        <f>774848.71-30208.47+584000+47.54-498609.71</f>
        <v>830078.0700000001</v>
      </c>
      <c r="K16" s="35">
        <v>24175.89</v>
      </c>
      <c r="L16" s="35">
        <f>K16/J16*100</f>
        <v>2.91248388238952</v>
      </c>
    </row>
    <row r="17" spans="1:12" ht="12.75">
      <c r="A17" s="36" t="s">
        <v>19</v>
      </c>
      <c r="B17" s="165" t="s">
        <v>93</v>
      </c>
      <c r="C17" s="36"/>
      <c r="D17" s="36"/>
      <c r="E17" s="29">
        <v>2006</v>
      </c>
      <c r="F17" s="37"/>
      <c r="G17" s="37"/>
      <c r="H17" s="37"/>
      <c r="I17" s="37"/>
      <c r="J17" s="37"/>
      <c r="K17" s="37"/>
      <c r="L17" s="37"/>
    </row>
    <row r="18" spans="1:12" ht="12.75">
      <c r="A18" s="34"/>
      <c r="B18" s="166" t="s">
        <v>94</v>
      </c>
      <c r="C18" s="34"/>
      <c r="D18" s="34"/>
      <c r="E18" s="34"/>
      <c r="F18" s="35">
        <v>59902</v>
      </c>
      <c r="G18" s="35">
        <v>26760</v>
      </c>
      <c r="H18" s="35">
        <f>513000-340000-11700</f>
        <v>161300</v>
      </c>
      <c r="I18" s="35">
        <f>33000+140000+3000000</f>
        <v>3173000</v>
      </c>
      <c r="J18" s="35">
        <f>33000+140000</f>
        <v>173000</v>
      </c>
      <c r="K18" s="35"/>
      <c r="L18" s="35"/>
    </row>
    <row r="19" spans="1:12" ht="12.75">
      <c r="A19" s="36" t="s">
        <v>20</v>
      </c>
      <c r="B19" s="38" t="s">
        <v>162</v>
      </c>
      <c r="C19" s="36"/>
      <c r="D19" s="36"/>
      <c r="E19" s="39">
        <v>2006</v>
      </c>
      <c r="F19" s="37"/>
      <c r="G19" s="37"/>
      <c r="H19" s="37"/>
      <c r="I19" s="37"/>
      <c r="J19" s="37"/>
      <c r="K19" s="37"/>
      <c r="L19" s="37"/>
    </row>
    <row r="20" spans="1:12" ht="12.75">
      <c r="A20" s="29"/>
      <c r="B20" s="40" t="s">
        <v>159</v>
      </c>
      <c r="C20" s="29"/>
      <c r="D20" s="29"/>
      <c r="E20" s="41"/>
      <c r="F20" s="31"/>
      <c r="G20" s="31"/>
      <c r="H20" s="31"/>
      <c r="I20" s="31"/>
      <c r="J20" s="31"/>
      <c r="K20" s="31"/>
      <c r="L20" s="31"/>
    </row>
    <row r="21" spans="1:12" ht="12.75">
      <c r="A21" s="29"/>
      <c r="B21" s="40" t="s">
        <v>163</v>
      </c>
      <c r="C21" s="29"/>
      <c r="D21" s="29"/>
      <c r="E21" s="41"/>
      <c r="F21" s="31"/>
      <c r="G21" s="31"/>
      <c r="H21" s="31"/>
      <c r="I21" s="31"/>
      <c r="J21" s="31"/>
      <c r="K21" s="31"/>
      <c r="L21" s="31"/>
    </row>
    <row r="22" spans="1:12" ht="12.75">
      <c r="A22" s="34"/>
      <c r="B22" s="42" t="s">
        <v>248</v>
      </c>
      <c r="C22" s="34"/>
      <c r="D22" s="34"/>
      <c r="E22" s="43"/>
      <c r="F22" s="35">
        <v>203735</v>
      </c>
      <c r="G22" s="35">
        <v>709702</v>
      </c>
      <c r="H22" s="35">
        <f>700000-150000</f>
        <v>550000</v>
      </c>
      <c r="I22" s="35">
        <f>260000+240000</f>
        <v>500000</v>
      </c>
      <c r="J22" s="35"/>
      <c r="K22" s="35"/>
      <c r="L22" s="35"/>
    </row>
    <row r="23" spans="1:12" ht="12.75">
      <c r="A23" s="36" t="s">
        <v>60</v>
      </c>
      <c r="B23" s="165" t="s">
        <v>142</v>
      </c>
      <c r="C23" s="36"/>
      <c r="D23" s="36"/>
      <c r="E23" s="39">
        <v>2007</v>
      </c>
      <c r="F23" s="37"/>
      <c r="G23" s="37"/>
      <c r="H23" s="37"/>
      <c r="I23" s="37"/>
      <c r="J23" s="37"/>
      <c r="K23" s="37"/>
      <c r="L23" s="37"/>
    </row>
    <row r="24" spans="1:12" ht="12.75">
      <c r="A24" s="34"/>
      <c r="B24" s="166" t="s">
        <v>143</v>
      </c>
      <c r="C24" s="34"/>
      <c r="D24" s="34"/>
      <c r="E24" s="43"/>
      <c r="F24" s="35">
        <v>42700</v>
      </c>
      <c r="G24" s="35">
        <v>252540</v>
      </c>
      <c r="H24" s="35">
        <v>300000</v>
      </c>
      <c r="I24" s="35">
        <v>6000000</v>
      </c>
      <c r="J24" s="35">
        <f>6000000+1432100+369000</f>
        <v>7801100</v>
      </c>
      <c r="K24" s="35">
        <v>499240.43</v>
      </c>
      <c r="L24" s="35">
        <f>K24/J24*100</f>
        <v>6.399615823409518</v>
      </c>
    </row>
    <row r="25" spans="1:12" ht="12.75">
      <c r="A25" s="36" t="s">
        <v>57</v>
      </c>
      <c r="B25" s="30" t="s">
        <v>165</v>
      </c>
      <c r="C25" s="36"/>
      <c r="D25" s="36"/>
      <c r="E25" s="39">
        <v>2009</v>
      </c>
      <c r="F25" s="37"/>
      <c r="G25" s="37"/>
      <c r="H25" s="37"/>
      <c r="I25" s="37"/>
      <c r="J25" s="37"/>
      <c r="K25" s="37"/>
      <c r="L25" s="37"/>
    </row>
    <row r="26" spans="1:12" ht="12.75">
      <c r="A26" s="34"/>
      <c r="B26" s="33" t="s">
        <v>164</v>
      </c>
      <c r="C26" s="34"/>
      <c r="D26" s="34"/>
      <c r="E26" s="43"/>
      <c r="F26" s="35"/>
      <c r="G26" s="35"/>
      <c r="H26" s="35">
        <v>300000</v>
      </c>
      <c r="I26" s="35">
        <f>400000+7000</f>
        <v>407000</v>
      </c>
      <c r="J26" s="35">
        <f>400000+7000</f>
        <v>407000</v>
      </c>
      <c r="K26" s="35">
        <v>297609.11</v>
      </c>
      <c r="L26" s="35">
        <f>K26/J26*100</f>
        <v>73.12263144963144</v>
      </c>
    </row>
    <row r="27" spans="1:12" ht="12.75">
      <c r="A27" s="29" t="s">
        <v>21</v>
      </c>
      <c r="B27" s="40" t="s">
        <v>211</v>
      </c>
      <c r="C27" s="29"/>
      <c r="D27" s="29"/>
      <c r="E27" s="29">
        <v>2010</v>
      </c>
      <c r="F27" s="31"/>
      <c r="G27" s="31"/>
      <c r="H27" s="31"/>
      <c r="I27" s="31"/>
      <c r="J27" s="31"/>
      <c r="K27" s="31"/>
      <c r="L27" s="37"/>
    </row>
    <row r="28" spans="1:12" ht="12.75">
      <c r="A28" s="29"/>
      <c r="B28" s="40" t="s">
        <v>167</v>
      </c>
      <c r="C28" s="29"/>
      <c r="D28" s="29"/>
      <c r="E28" s="29"/>
      <c r="F28" s="31"/>
      <c r="G28" s="31"/>
      <c r="H28" s="31"/>
      <c r="I28" s="31">
        <v>50000</v>
      </c>
      <c r="J28" s="31">
        <f>50000+100000-143000</f>
        <v>7000</v>
      </c>
      <c r="K28" s="31"/>
      <c r="L28" s="35"/>
    </row>
    <row r="29" spans="1:12" ht="12.75">
      <c r="A29" s="36" t="s">
        <v>201</v>
      </c>
      <c r="B29" s="167" t="s">
        <v>219</v>
      </c>
      <c r="C29" s="36"/>
      <c r="D29" s="36"/>
      <c r="E29" s="36">
        <v>2008</v>
      </c>
      <c r="F29" s="37"/>
      <c r="G29" s="37"/>
      <c r="H29" s="37"/>
      <c r="I29" s="37"/>
      <c r="J29" s="37"/>
      <c r="K29" s="37"/>
      <c r="L29" s="37"/>
    </row>
    <row r="30" spans="1:12" ht="12.75">
      <c r="A30" s="34"/>
      <c r="B30" s="168" t="s">
        <v>220</v>
      </c>
      <c r="C30" s="34"/>
      <c r="D30" s="34"/>
      <c r="E30" s="34"/>
      <c r="F30" s="35"/>
      <c r="G30" s="35">
        <v>213077</v>
      </c>
      <c r="H30" s="35">
        <v>512400</v>
      </c>
      <c r="I30" s="35">
        <v>100000</v>
      </c>
      <c r="J30" s="35">
        <v>100000</v>
      </c>
      <c r="K30" s="35"/>
      <c r="L30" s="35"/>
    </row>
    <row r="31" spans="1:12" ht="12.75">
      <c r="A31" s="36" t="s">
        <v>61</v>
      </c>
      <c r="B31" s="169" t="s">
        <v>212</v>
      </c>
      <c r="C31" s="36"/>
      <c r="D31" s="36"/>
      <c r="E31" s="39">
        <v>2010</v>
      </c>
      <c r="F31" s="37"/>
      <c r="G31" s="37"/>
      <c r="H31" s="37"/>
      <c r="I31" s="37">
        <f>SUM(I32:I33)</f>
        <v>125000</v>
      </c>
      <c r="J31" s="37"/>
      <c r="K31" s="37"/>
      <c r="L31" s="37"/>
    </row>
    <row r="32" spans="1:12" ht="12.75">
      <c r="A32" s="29"/>
      <c r="B32" s="170" t="s">
        <v>168</v>
      </c>
      <c r="C32" s="29"/>
      <c r="D32" s="29"/>
      <c r="E32" s="41"/>
      <c r="F32" s="31"/>
      <c r="G32" s="31"/>
      <c r="H32" s="31"/>
      <c r="I32" s="31">
        <v>75000</v>
      </c>
      <c r="J32" s="31"/>
      <c r="K32" s="31"/>
      <c r="L32" s="31"/>
    </row>
    <row r="33" spans="1:12" ht="12.75">
      <c r="A33" s="29"/>
      <c r="B33" s="170" t="s">
        <v>169</v>
      </c>
      <c r="C33" s="29"/>
      <c r="D33" s="29"/>
      <c r="E33" s="41"/>
      <c r="F33" s="31"/>
      <c r="G33" s="31"/>
      <c r="H33" s="31"/>
      <c r="I33" s="31">
        <v>50000</v>
      </c>
      <c r="J33" s="31"/>
      <c r="K33" s="31"/>
      <c r="L33" s="35"/>
    </row>
    <row r="34" spans="1:12" ht="12.75">
      <c r="A34" s="36" t="s">
        <v>62</v>
      </c>
      <c r="B34" s="171" t="s">
        <v>218</v>
      </c>
      <c r="C34" s="36"/>
      <c r="D34" s="36"/>
      <c r="E34" s="39">
        <v>2010</v>
      </c>
      <c r="F34" s="37"/>
      <c r="G34" s="37"/>
      <c r="H34" s="37"/>
      <c r="I34" s="37"/>
      <c r="J34" s="37"/>
      <c r="K34" s="37"/>
      <c r="L34" s="37"/>
    </row>
    <row r="35" spans="1:12" ht="12.75">
      <c r="A35" s="34"/>
      <c r="B35" s="172" t="s">
        <v>206</v>
      </c>
      <c r="C35" s="29"/>
      <c r="D35" s="29"/>
      <c r="E35" s="41"/>
      <c r="F35" s="31"/>
      <c r="G35" s="31"/>
      <c r="H35" s="31"/>
      <c r="I35" s="31">
        <v>150000</v>
      </c>
      <c r="J35" s="31">
        <v>150000</v>
      </c>
      <c r="K35" s="31"/>
      <c r="L35" s="35"/>
    </row>
    <row r="36" spans="1:12" ht="12.75">
      <c r="A36" s="44" t="s">
        <v>63</v>
      </c>
      <c r="B36" s="173" t="s">
        <v>196</v>
      </c>
      <c r="C36" s="44"/>
      <c r="D36" s="44"/>
      <c r="E36" s="46">
        <v>2010</v>
      </c>
      <c r="F36" s="45"/>
      <c r="G36" s="45"/>
      <c r="H36" s="45"/>
      <c r="I36" s="45">
        <v>65000</v>
      </c>
      <c r="J36" s="45">
        <f>65000-40600</f>
        <v>24400</v>
      </c>
      <c r="K36" s="45"/>
      <c r="L36" s="45"/>
    </row>
    <row r="37" spans="1:12" ht="12.75">
      <c r="A37" s="44" t="s">
        <v>64</v>
      </c>
      <c r="B37" s="78" t="s">
        <v>223</v>
      </c>
      <c r="C37" s="44"/>
      <c r="D37" s="44"/>
      <c r="E37" s="44">
        <v>2010</v>
      </c>
      <c r="F37" s="45"/>
      <c r="G37" s="45"/>
      <c r="H37" s="45"/>
      <c r="I37" s="45">
        <v>850000</v>
      </c>
      <c r="J37" s="45"/>
      <c r="K37" s="45"/>
      <c r="L37" s="45"/>
    </row>
    <row r="38" spans="1:12" ht="12.75">
      <c r="A38" s="36" t="s">
        <v>65</v>
      </c>
      <c r="B38" s="116" t="s">
        <v>224</v>
      </c>
      <c r="C38" s="36"/>
      <c r="D38" s="36"/>
      <c r="E38" s="36">
        <v>2010</v>
      </c>
      <c r="F38" s="37"/>
      <c r="G38" s="37"/>
      <c r="H38" s="37"/>
      <c r="I38" s="37"/>
      <c r="J38" s="37"/>
      <c r="K38" s="37"/>
      <c r="L38" s="37"/>
    </row>
    <row r="39" spans="1:12" ht="12.75">
      <c r="A39" s="34"/>
      <c r="B39" s="114" t="s">
        <v>225</v>
      </c>
      <c r="C39" s="34"/>
      <c r="D39" s="34"/>
      <c r="E39" s="34"/>
      <c r="F39" s="35"/>
      <c r="G39" s="35"/>
      <c r="H39" s="35"/>
      <c r="I39" s="35">
        <v>220000</v>
      </c>
      <c r="J39" s="35"/>
      <c r="K39" s="35"/>
      <c r="L39" s="35"/>
    </row>
    <row r="40" spans="1:12" ht="12.75">
      <c r="A40" s="36" t="s">
        <v>55</v>
      </c>
      <c r="B40" s="116" t="s">
        <v>226</v>
      </c>
      <c r="C40" s="36"/>
      <c r="D40" s="36"/>
      <c r="E40" s="36">
        <v>2010</v>
      </c>
      <c r="F40" s="37"/>
      <c r="G40" s="37"/>
      <c r="H40" s="37"/>
      <c r="I40" s="37"/>
      <c r="J40" s="37"/>
      <c r="K40" s="37"/>
      <c r="L40" s="37"/>
    </row>
    <row r="41" spans="1:12" ht="12.75">
      <c r="A41" s="34"/>
      <c r="B41" s="114" t="s">
        <v>227</v>
      </c>
      <c r="C41" s="34"/>
      <c r="D41" s="34"/>
      <c r="E41" s="34"/>
      <c r="F41" s="35"/>
      <c r="G41" s="35"/>
      <c r="H41" s="35"/>
      <c r="I41" s="35">
        <v>50000</v>
      </c>
      <c r="J41" s="35">
        <f>50000-46500</f>
        <v>3500</v>
      </c>
      <c r="K41" s="35"/>
      <c r="L41" s="35"/>
    </row>
    <row r="42" spans="1:12" ht="12.75">
      <c r="A42" s="36" t="s">
        <v>119</v>
      </c>
      <c r="B42" s="116" t="s">
        <v>228</v>
      </c>
      <c r="C42" s="36"/>
      <c r="D42" s="36"/>
      <c r="E42" s="36">
        <v>2010</v>
      </c>
      <c r="F42" s="37"/>
      <c r="G42" s="37"/>
      <c r="H42" s="37"/>
      <c r="I42" s="37"/>
      <c r="J42" s="37"/>
      <c r="K42" s="37"/>
      <c r="L42" s="37"/>
    </row>
    <row r="43" spans="1:12" ht="12.75">
      <c r="A43" s="34"/>
      <c r="B43" s="114" t="s">
        <v>229</v>
      </c>
      <c r="C43" s="34"/>
      <c r="D43" s="34"/>
      <c r="E43" s="34"/>
      <c r="F43" s="35"/>
      <c r="G43" s="35"/>
      <c r="H43" s="35"/>
      <c r="I43" s="35">
        <v>100000</v>
      </c>
      <c r="J43" s="35"/>
      <c r="K43" s="35"/>
      <c r="L43" s="35"/>
    </row>
    <row r="44" spans="1:12" ht="12.75">
      <c r="A44" s="36" t="s">
        <v>120</v>
      </c>
      <c r="B44" s="116" t="s">
        <v>259</v>
      </c>
      <c r="C44" s="36"/>
      <c r="D44" s="36"/>
      <c r="E44" s="36">
        <v>2010</v>
      </c>
      <c r="F44" s="37"/>
      <c r="G44" s="37"/>
      <c r="H44" s="37"/>
      <c r="I44" s="37"/>
      <c r="J44" s="37"/>
      <c r="K44" s="37"/>
      <c r="L44" s="37"/>
    </row>
    <row r="45" spans="1:12" ht="12.75">
      <c r="A45" s="29"/>
      <c r="B45" s="113" t="s">
        <v>225</v>
      </c>
      <c r="C45" s="29"/>
      <c r="D45" s="29"/>
      <c r="E45" s="29"/>
      <c r="F45" s="31"/>
      <c r="G45" s="31"/>
      <c r="H45" s="31"/>
      <c r="I45" s="31"/>
      <c r="J45" s="31">
        <f>220000-216500</f>
        <v>3500</v>
      </c>
      <c r="K45" s="31"/>
      <c r="L45" s="31"/>
    </row>
    <row r="46" spans="1:12" ht="12.75">
      <c r="A46" s="36" t="s">
        <v>121</v>
      </c>
      <c r="B46" s="116" t="s">
        <v>293</v>
      </c>
      <c r="C46" s="36"/>
      <c r="D46" s="36"/>
      <c r="E46" s="36">
        <v>2008</v>
      </c>
      <c r="F46" s="37"/>
      <c r="G46" s="37"/>
      <c r="H46" s="37"/>
      <c r="I46" s="37"/>
      <c r="J46" s="37">
        <v>1050000</v>
      </c>
      <c r="K46" s="37">
        <v>79868.13</v>
      </c>
      <c r="L46" s="37">
        <f>K46/J46*100</f>
        <v>7.606488571428571</v>
      </c>
    </row>
    <row r="47" spans="1:12" ht="12.75">
      <c r="A47" s="29"/>
      <c r="B47" s="113" t="s">
        <v>294</v>
      </c>
      <c r="C47" s="29"/>
      <c r="D47" s="29"/>
      <c r="E47" s="29"/>
      <c r="F47" s="31"/>
      <c r="G47" s="31"/>
      <c r="H47" s="31"/>
      <c r="I47" s="31"/>
      <c r="J47" s="31"/>
      <c r="K47" s="31"/>
      <c r="L47" s="31"/>
    </row>
    <row r="48" spans="1:12" ht="12.75">
      <c r="A48" s="34"/>
      <c r="B48" s="114" t="s">
        <v>295</v>
      </c>
      <c r="C48" s="34"/>
      <c r="D48" s="34"/>
      <c r="E48" s="34"/>
      <c r="F48" s="35"/>
      <c r="G48" s="35"/>
      <c r="H48" s="35"/>
      <c r="I48" s="35"/>
      <c r="J48" s="35"/>
      <c r="K48" s="35"/>
      <c r="L48" s="35"/>
    </row>
    <row r="49" spans="1:12" ht="12.75">
      <c r="A49" s="151"/>
      <c r="B49" s="150"/>
      <c r="C49" s="151"/>
      <c r="D49" s="151"/>
      <c r="E49" s="151"/>
      <c r="F49" s="152"/>
      <c r="G49" s="152"/>
      <c r="H49" s="152"/>
      <c r="I49" s="152"/>
      <c r="J49" s="152"/>
      <c r="K49" s="152"/>
      <c r="L49" s="152"/>
    </row>
    <row r="50" spans="1:12" ht="12.75">
      <c r="A50" s="6"/>
      <c r="B50" s="153"/>
      <c r="C50" s="6"/>
      <c r="D50" s="6"/>
      <c r="E50" s="6"/>
      <c r="F50" s="9"/>
      <c r="G50" s="9"/>
      <c r="H50" s="9"/>
      <c r="I50" s="9"/>
      <c r="J50" s="9"/>
      <c r="K50" s="9"/>
      <c r="L50" s="9"/>
    </row>
    <row r="51" spans="1:12" ht="13.5" thickBot="1">
      <c r="A51" s="216" t="s">
        <v>350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</row>
    <row r="52" spans="1:12" s="5" customFormat="1" ht="13.5" thickBot="1">
      <c r="A52" s="17" t="s">
        <v>8</v>
      </c>
      <c r="B52" s="17" t="s">
        <v>9</v>
      </c>
      <c r="C52" s="17" t="s">
        <v>10</v>
      </c>
      <c r="D52" s="17" t="s">
        <v>11</v>
      </c>
      <c r="E52" s="17" t="s">
        <v>12</v>
      </c>
      <c r="F52" s="18" t="s">
        <v>13</v>
      </c>
      <c r="G52" s="19" t="s">
        <v>14</v>
      </c>
      <c r="H52" s="19" t="s">
        <v>15</v>
      </c>
      <c r="I52" s="19" t="s">
        <v>129</v>
      </c>
      <c r="J52" s="19" t="s">
        <v>256</v>
      </c>
      <c r="K52" s="19" t="s">
        <v>257</v>
      </c>
      <c r="L52" s="19" t="s">
        <v>255</v>
      </c>
    </row>
    <row r="53" spans="1:12" ht="12.75">
      <c r="A53" s="34"/>
      <c r="B53" s="164" t="s">
        <v>18</v>
      </c>
      <c r="C53" s="26"/>
      <c r="D53" s="26">
        <v>6057</v>
      </c>
      <c r="E53" s="34"/>
      <c r="F53" s="35"/>
      <c r="G53" s="35"/>
      <c r="H53" s="35"/>
      <c r="I53" s="35"/>
      <c r="J53" s="35">
        <f>SUM(J55,J56,J61)</f>
        <v>1645626.17</v>
      </c>
      <c r="K53" s="35">
        <f>SUM(K55,K56,K61)</f>
        <v>932461</v>
      </c>
      <c r="L53" s="45">
        <f>K53/J53*100</f>
        <v>56.662990477357326</v>
      </c>
    </row>
    <row r="54" spans="1:12" ht="12.75">
      <c r="A54" s="36" t="s">
        <v>290</v>
      </c>
      <c r="B54" s="30" t="s">
        <v>102</v>
      </c>
      <c r="C54" s="54"/>
      <c r="D54" s="54"/>
      <c r="E54" s="36">
        <v>2005</v>
      </c>
      <c r="F54" s="37"/>
      <c r="G54" s="37"/>
      <c r="H54" s="37"/>
      <c r="I54" s="37"/>
      <c r="J54" s="37"/>
      <c r="K54" s="37"/>
      <c r="L54" s="37"/>
    </row>
    <row r="55" spans="1:12" ht="12.75">
      <c r="A55" s="34"/>
      <c r="B55" s="33" t="s">
        <v>208</v>
      </c>
      <c r="C55" s="47"/>
      <c r="D55" s="47"/>
      <c r="E55" s="34"/>
      <c r="F55" s="35"/>
      <c r="G55" s="35"/>
      <c r="H55" s="35"/>
      <c r="I55" s="35"/>
      <c r="J55" s="35">
        <v>1289016.17</v>
      </c>
      <c r="K55" s="35">
        <v>757698.08</v>
      </c>
      <c r="L55" s="35">
        <f>K55/J55*100</f>
        <v>58.78111521285261</v>
      </c>
    </row>
    <row r="56" spans="1:12" ht="12.75">
      <c r="A56" s="36" t="s">
        <v>122</v>
      </c>
      <c r="B56" s="30" t="s">
        <v>102</v>
      </c>
      <c r="C56" s="54"/>
      <c r="D56" s="54"/>
      <c r="E56" s="36">
        <v>2010</v>
      </c>
      <c r="F56" s="37"/>
      <c r="G56" s="37"/>
      <c r="H56" s="37"/>
      <c r="I56" s="37"/>
      <c r="J56" s="37">
        <v>5000</v>
      </c>
      <c r="K56" s="37"/>
      <c r="L56" s="37"/>
    </row>
    <row r="57" spans="1:12" ht="12.75">
      <c r="A57" s="34"/>
      <c r="B57" s="33" t="s">
        <v>200</v>
      </c>
      <c r="C57" s="34"/>
      <c r="D57" s="34"/>
      <c r="E57" s="34"/>
      <c r="F57" s="35"/>
      <c r="G57" s="35"/>
      <c r="H57" s="35"/>
      <c r="I57" s="35"/>
      <c r="J57" s="35"/>
      <c r="K57" s="35"/>
      <c r="L57" s="35"/>
    </row>
    <row r="58" spans="1:12" ht="12.75">
      <c r="A58" s="36" t="s">
        <v>123</v>
      </c>
      <c r="B58" s="38" t="s">
        <v>162</v>
      </c>
      <c r="C58" s="36"/>
      <c r="D58" s="36"/>
      <c r="E58" s="39">
        <v>2006</v>
      </c>
      <c r="F58" s="37"/>
      <c r="G58" s="37"/>
      <c r="H58" s="37"/>
      <c r="I58" s="37"/>
      <c r="J58" s="37"/>
      <c r="K58" s="37"/>
      <c r="L58" s="37"/>
    </row>
    <row r="59" spans="1:12" ht="12.75">
      <c r="A59" s="29"/>
      <c r="B59" s="40" t="s">
        <v>159</v>
      </c>
      <c r="C59" s="29"/>
      <c r="D59" s="29"/>
      <c r="E59" s="41"/>
      <c r="F59" s="31"/>
      <c r="G59" s="31"/>
      <c r="H59" s="31"/>
      <c r="I59" s="31"/>
      <c r="J59" s="31"/>
      <c r="K59" s="31"/>
      <c r="L59" s="31"/>
    </row>
    <row r="60" spans="1:12" ht="12.75">
      <c r="A60" s="29"/>
      <c r="B60" s="40" t="s">
        <v>163</v>
      </c>
      <c r="C60" s="29"/>
      <c r="D60" s="29"/>
      <c r="E60" s="41"/>
      <c r="F60" s="31"/>
      <c r="G60" s="31"/>
      <c r="H60" s="31"/>
      <c r="I60" s="31"/>
      <c r="J60" s="31"/>
      <c r="K60" s="31"/>
      <c r="L60" s="31"/>
    </row>
    <row r="61" spans="1:12" ht="12.75">
      <c r="A61" s="29"/>
      <c r="B61" s="42" t="s">
        <v>248</v>
      </c>
      <c r="C61" s="34"/>
      <c r="D61" s="34"/>
      <c r="E61" s="43"/>
      <c r="F61" s="31"/>
      <c r="G61" s="31"/>
      <c r="H61" s="31"/>
      <c r="I61" s="31"/>
      <c r="J61" s="31">
        <v>351610</v>
      </c>
      <c r="K61" s="31">
        <v>174762.92</v>
      </c>
      <c r="L61" s="35">
        <f>K61/J61*100</f>
        <v>49.703626176729905</v>
      </c>
    </row>
    <row r="62" spans="1:12" ht="12.75">
      <c r="A62" s="26"/>
      <c r="B62" s="164" t="s">
        <v>18</v>
      </c>
      <c r="C62" s="26"/>
      <c r="D62" s="26">
        <v>6058</v>
      </c>
      <c r="E62" s="117"/>
      <c r="F62" s="27"/>
      <c r="G62" s="27"/>
      <c r="H62" s="27">
        <f>SUM(H64)</f>
        <v>5271167</v>
      </c>
      <c r="I62" s="27">
        <f>SUM(I64:I66)</f>
        <v>1409206.0999999999</v>
      </c>
      <c r="J62" s="27"/>
      <c r="K62" s="27"/>
      <c r="L62" s="45"/>
    </row>
    <row r="63" spans="1:12" ht="12.75">
      <c r="A63" s="36" t="s">
        <v>124</v>
      </c>
      <c r="B63" s="30" t="s">
        <v>102</v>
      </c>
      <c r="C63" s="49"/>
      <c r="D63" s="49"/>
      <c r="E63" s="39">
        <v>2005</v>
      </c>
      <c r="F63" s="37"/>
      <c r="G63" s="37"/>
      <c r="H63" s="37"/>
      <c r="I63" s="37"/>
      <c r="J63" s="37"/>
      <c r="K63" s="37"/>
      <c r="L63" s="37"/>
    </row>
    <row r="64" spans="1:12" ht="12.75">
      <c r="A64" s="34"/>
      <c r="B64" s="33" t="s">
        <v>103</v>
      </c>
      <c r="C64" s="50"/>
      <c r="D64" s="50"/>
      <c r="E64" s="43"/>
      <c r="F64" s="35"/>
      <c r="G64" s="35"/>
      <c r="H64" s="35">
        <f>5147797.46+123369.54</f>
        <v>5271167</v>
      </c>
      <c r="I64" s="35">
        <f>1362575.64+15104.23+26526.23</f>
        <v>1404206.0999999999</v>
      </c>
      <c r="J64" s="35"/>
      <c r="K64" s="35"/>
      <c r="L64" s="35"/>
    </row>
    <row r="65" spans="1:12" ht="12.75">
      <c r="A65" s="36" t="s">
        <v>125</v>
      </c>
      <c r="B65" s="30" t="s">
        <v>102</v>
      </c>
      <c r="C65" s="49"/>
      <c r="D65" s="49"/>
      <c r="E65" s="39">
        <v>2010</v>
      </c>
      <c r="F65" s="37"/>
      <c r="G65" s="37"/>
      <c r="H65" s="37"/>
      <c r="I65" s="37"/>
      <c r="J65" s="37"/>
      <c r="K65" s="37"/>
      <c r="L65" s="37"/>
    </row>
    <row r="66" spans="1:12" ht="12.75">
      <c r="A66" s="29"/>
      <c r="B66" s="32" t="s">
        <v>200</v>
      </c>
      <c r="C66" s="51"/>
      <c r="D66" s="51"/>
      <c r="E66" s="41"/>
      <c r="F66" s="31"/>
      <c r="G66" s="31"/>
      <c r="H66" s="31"/>
      <c r="I66" s="31">
        <v>5000</v>
      </c>
      <c r="J66" s="31"/>
      <c r="K66" s="31"/>
      <c r="L66" s="35"/>
    </row>
    <row r="67" spans="1:12" ht="12.75">
      <c r="A67" s="26"/>
      <c r="B67" s="164" t="s">
        <v>18</v>
      </c>
      <c r="C67" s="26"/>
      <c r="D67" s="26">
        <v>6059</v>
      </c>
      <c r="E67" s="46"/>
      <c r="F67" s="45"/>
      <c r="G67" s="45"/>
      <c r="H67" s="27">
        <f>SUM(H69)</f>
        <v>4971167</v>
      </c>
      <c r="I67" s="27">
        <f>SUM(I69,I71)</f>
        <v>1409206.1199999999</v>
      </c>
      <c r="J67" s="27">
        <f>SUM(J69,J71,J75)</f>
        <v>2173695.76</v>
      </c>
      <c r="K67" s="27">
        <f>SUM(K69,K71,K75)</f>
        <v>920408.16</v>
      </c>
      <c r="L67" s="27">
        <f>K67/J67*100</f>
        <v>42.34300756054289</v>
      </c>
    </row>
    <row r="68" spans="1:12" s="5" customFormat="1" ht="12.75">
      <c r="A68" s="36" t="s">
        <v>126</v>
      </c>
      <c r="B68" s="30" t="s">
        <v>102</v>
      </c>
      <c r="C68" s="49"/>
      <c r="D68" s="49"/>
      <c r="E68" s="39">
        <v>2005</v>
      </c>
      <c r="F68" s="37"/>
      <c r="G68" s="37"/>
      <c r="H68" s="31"/>
      <c r="I68" s="37"/>
      <c r="J68" s="37"/>
      <c r="K68" s="37"/>
      <c r="L68" s="103"/>
    </row>
    <row r="69" spans="1:12" ht="12.75">
      <c r="A69" s="29"/>
      <c r="B69" s="32" t="s">
        <v>103</v>
      </c>
      <c r="C69" s="51"/>
      <c r="D69" s="51"/>
      <c r="E69" s="41"/>
      <c r="F69" s="31"/>
      <c r="G69" s="31"/>
      <c r="H69" s="31">
        <f>4847797.47+123369.53</f>
        <v>4971167</v>
      </c>
      <c r="I69" s="31">
        <f>1362575.65+15104.24+26526.23</f>
        <v>1404206.1199999999</v>
      </c>
      <c r="J69" s="31">
        <f>1362575.65+15104.24+26526.23+613799.64</f>
        <v>2018005.7599999998</v>
      </c>
      <c r="K69" s="31">
        <v>845509.76</v>
      </c>
      <c r="L69" s="35">
        <f>K69/J69*100</f>
        <v>41.89828278785488</v>
      </c>
    </row>
    <row r="70" spans="1:12" ht="12.75">
      <c r="A70" s="36" t="s">
        <v>66</v>
      </c>
      <c r="B70" s="30" t="s">
        <v>102</v>
      </c>
      <c r="C70" s="49"/>
      <c r="D70" s="49"/>
      <c r="E70" s="39">
        <v>2010</v>
      </c>
      <c r="F70" s="37"/>
      <c r="G70" s="37"/>
      <c r="H70" s="37"/>
      <c r="I70" s="37"/>
      <c r="J70" s="37"/>
      <c r="K70" s="37"/>
      <c r="L70" s="37"/>
    </row>
    <row r="71" spans="1:12" ht="12.75">
      <c r="A71" s="34"/>
      <c r="B71" s="33" t="s">
        <v>200</v>
      </c>
      <c r="C71" s="50"/>
      <c r="D71" s="50"/>
      <c r="E71" s="43"/>
      <c r="F71" s="35"/>
      <c r="G71" s="35"/>
      <c r="H71" s="35"/>
      <c r="I71" s="35">
        <v>5000</v>
      </c>
      <c r="J71" s="35">
        <v>5000</v>
      </c>
      <c r="K71" s="35"/>
      <c r="L71" s="35"/>
    </row>
    <row r="72" spans="1:12" ht="12.75">
      <c r="A72" s="36" t="s">
        <v>67</v>
      </c>
      <c r="B72" s="38" t="s">
        <v>162</v>
      </c>
      <c r="C72" s="36"/>
      <c r="D72" s="36"/>
      <c r="E72" s="39">
        <v>2006</v>
      </c>
      <c r="F72" s="37"/>
      <c r="G72" s="37"/>
      <c r="H72" s="37"/>
      <c r="I72" s="37"/>
      <c r="J72" s="37"/>
      <c r="K72" s="37"/>
      <c r="L72" s="37"/>
    </row>
    <row r="73" spans="1:12" ht="12.75">
      <c r="A73" s="29"/>
      <c r="B73" s="40" t="s">
        <v>159</v>
      </c>
      <c r="C73" s="29"/>
      <c r="D73" s="29"/>
      <c r="E73" s="41"/>
      <c r="F73" s="31"/>
      <c r="G73" s="31"/>
      <c r="H73" s="31"/>
      <c r="I73" s="31"/>
      <c r="J73" s="31"/>
      <c r="K73" s="31"/>
      <c r="L73" s="31"/>
    </row>
    <row r="74" spans="1:12" ht="12.75">
      <c r="A74" s="29"/>
      <c r="B74" s="40" t="s">
        <v>163</v>
      </c>
      <c r="C74" s="29"/>
      <c r="D74" s="29"/>
      <c r="E74" s="41"/>
      <c r="F74" s="31"/>
      <c r="G74" s="31"/>
      <c r="H74" s="31"/>
      <c r="I74" s="31"/>
      <c r="J74" s="31"/>
      <c r="K74" s="31"/>
      <c r="L74" s="31"/>
    </row>
    <row r="75" spans="1:12" ht="12.75">
      <c r="A75" s="34"/>
      <c r="B75" s="42" t="s">
        <v>248</v>
      </c>
      <c r="C75" s="34"/>
      <c r="D75" s="34"/>
      <c r="E75" s="43"/>
      <c r="F75" s="35"/>
      <c r="G75" s="35"/>
      <c r="H75" s="35"/>
      <c r="I75" s="35"/>
      <c r="J75" s="35">
        <v>150690</v>
      </c>
      <c r="K75" s="35">
        <v>74898.4</v>
      </c>
      <c r="L75" s="35">
        <f>K75/J75*100</f>
        <v>49.703629968810134</v>
      </c>
    </row>
    <row r="76" spans="1:12" ht="13.5">
      <c r="A76" s="52"/>
      <c r="B76" s="174" t="s">
        <v>22</v>
      </c>
      <c r="C76" s="52">
        <v>60016</v>
      </c>
      <c r="D76" s="52"/>
      <c r="E76" s="52"/>
      <c r="F76" s="53">
        <f>SUM(F77)</f>
        <v>180000</v>
      </c>
      <c r="G76" s="53">
        <f>SUM(G77)</f>
        <v>4057908</v>
      </c>
      <c r="H76" s="53">
        <f>SUM(H77)</f>
        <v>11302000</v>
      </c>
      <c r="I76" s="53">
        <f>SUM(I77)</f>
        <v>13981400</v>
      </c>
      <c r="J76" s="53">
        <f>SUM(J77,J97,J103)</f>
        <v>15994312</v>
      </c>
      <c r="K76" s="53">
        <f>SUM(K77,K97,K103)</f>
        <v>4406749.62</v>
      </c>
      <c r="L76" s="53">
        <f>K76/J76*100</f>
        <v>27.551979853838038</v>
      </c>
    </row>
    <row r="77" spans="1:12" s="25" customFormat="1" ht="13.5">
      <c r="A77" s="26"/>
      <c r="B77" s="164" t="s">
        <v>18</v>
      </c>
      <c r="C77" s="26"/>
      <c r="D77" s="26">
        <v>6050</v>
      </c>
      <c r="E77" s="26"/>
      <c r="F77" s="27">
        <f>SUM(F78,F80,F81,F84)</f>
        <v>180000</v>
      </c>
      <c r="G77" s="27">
        <f>SUM(G78,G80,G81,G84)</f>
        <v>4057908</v>
      </c>
      <c r="H77" s="27">
        <f>SUM(H78,H80,H81,H84)</f>
        <v>11302000</v>
      </c>
      <c r="I77" s="27">
        <f>SUM(I78,I80,I81,I84,I86,I87,I88)</f>
        <v>13981400</v>
      </c>
      <c r="J77" s="27">
        <f>SUM(J78,J80,J81,J84,J86,J87,J88,J89,J91,J93,J95,J96)</f>
        <v>11974319.48</v>
      </c>
      <c r="K77" s="27">
        <f>SUM(K78,K80,K81,K84,K86,K87,K88,K89,K91,K93,K95,K96)</f>
        <v>2993016.65</v>
      </c>
      <c r="L77" s="27">
        <f>K77/J77*100</f>
        <v>24.99529643416529</v>
      </c>
    </row>
    <row r="78" spans="1:12" s="28" customFormat="1" ht="12.75">
      <c r="A78" s="34" t="s">
        <v>68</v>
      </c>
      <c r="B78" s="175" t="s">
        <v>130</v>
      </c>
      <c r="C78" s="34"/>
      <c r="D78" s="34"/>
      <c r="E78" s="44">
        <v>2006</v>
      </c>
      <c r="F78" s="35">
        <v>180000</v>
      </c>
      <c r="G78" s="35">
        <v>3028179</v>
      </c>
      <c r="H78" s="35">
        <f>6800000+304000-130000-44000+350000-144000</f>
        <v>7136000</v>
      </c>
      <c r="I78" s="35">
        <f>6818000+430000</f>
        <v>7248000</v>
      </c>
      <c r="J78" s="35">
        <f>6818000+430000</f>
        <v>7248000</v>
      </c>
      <c r="K78" s="35">
        <v>2494975.19</v>
      </c>
      <c r="L78" s="45">
        <f>K78/J78*100</f>
        <v>34.422946881898454</v>
      </c>
    </row>
    <row r="79" spans="1:12" ht="12.75">
      <c r="A79" s="36" t="s">
        <v>69</v>
      </c>
      <c r="B79" s="165" t="s">
        <v>95</v>
      </c>
      <c r="C79" s="36"/>
      <c r="D79" s="36"/>
      <c r="E79" s="36"/>
      <c r="F79" s="37"/>
      <c r="G79" s="37"/>
      <c r="H79" s="37"/>
      <c r="I79" s="37"/>
      <c r="J79" s="37"/>
      <c r="K79" s="37"/>
      <c r="L79" s="37"/>
    </row>
    <row r="80" spans="1:12" ht="12.75">
      <c r="A80" s="34"/>
      <c r="B80" s="176" t="s">
        <v>96</v>
      </c>
      <c r="C80" s="34"/>
      <c r="D80" s="34"/>
      <c r="E80" s="34">
        <v>2008</v>
      </c>
      <c r="F80" s="35"/>
      <c r="G80" s="35">
        <v>847802</v>
      </c>
      <c r="H80" s="35">
        <f>3000000+19000+20000-16000</f>
        <v>3023000</v>
      </c>
      <c r="I80" s="35">
        <f>1850000+105000-193100</f>
        <v>1761900</v>
      </c>
      <c r="J80" s="35">
        <f>1850000+105000-193100</f>
        <v>1761900</v>
      </c>
      <c r="K80" s="35">
        <v>484252.62</v>
      </c>
      <c r="L80" s="35">
        <f>K80/J80*100</f>
        <v>27.48468244508769</v>
      </c>
    </row>
    <row r="81" spans="1:12" ht="12.75">
      <c r="A81" s="36" t="s">
        <v>70</v>
      </c>
      <c r="B81" s="165" t="s">
        <v>117</v>
      </c>
      <c r="C81" s="36"/>
      <c r="D81" s="36"/>
      <c r="E81" s="36">
        <v>2008</v>
      </c>
      <c r="F81" s="37"/>
      <c r="G81" s="37">
        <f>SUM(G82)</f>
        <v>181927</v>
      </c>
      <c r="H81" s="37">
        <f>SUM(H82)</f>
        <v>1143000</v>
      </c>
      <c r="I81" s="37">
        <f>SUM(I82)</f>
        <v>4000000</v>
      </c>
      <c r="J81" s="37">
        <f>SUM(J82)</f>
        <v>80007.47999999998</v>
      </c>
      <c r="K81" s="37">
        <f>SUM(K82)</f>
        <v>13788.84</v>
      </c>
      <c r="L81" s="37">
        <f>K81/J81*100</f>
        <v>17.234438579992776</v>
      </c>
    </row>
    <row r="82" spans="1:12" ht="12.75">
      <c r="A82" s="34"/>
      <c r="B82" s="176" t="s">
        <v>118</v>
      </c>
      <c r="C82" s="34"/>
      <c r="D82" s="34"/>
      <c r="E82" s="34"/>
      <c r="F82" s="35"/>
      <c r="G82" s="35">
        <v>181927</v>
      </c>
      <c r="H82" s="35">
        <f>1148000-5000</f>
        <v>1143000</v>
      </c>
      <c r="I82" s="35">
        <v>4000000</v>
      </c>
      <c r="J82" s="35">
        <f>4000000-3919992.52</f>
        <v>80007.47999999998</v>
      </c>
      <c r="K82" s="35">
        <v>13788.84</v>
      </c>
      <c r="L82" s="35">
        <f>K82/J82*100</f>
        <v>17.234438579992776</v>
      </c>
    </row>
    <row r="83" spans="1:12" ht="12.75">
      <c r="A83" s="36" t="s">
        <v>71</v>
      </c>
      <c r="B83" s="171" t="s">
        <v>204</v>
      </c>
      <c r="C83" s="36"/>
      <c r="D83" s="36"/>
      <c r="E83" s="36">
        <v>2010</v>
      </c>
      <c r="F83" s="37"/>
      <c r="G83" s="37"/>
      <c r="H83" s="37"/>
      <c r="I83" s="37"/>
      <c r="J83" s="37"/>
      <c r="K83" s="37"/>
      <c r="L83" s="37"/>
    </row>
    <row r="84" spans="1:12" ht="12.75">
      <c r="A84" s="34"/>
      <c r="B84" s="176" t="s">
        <v>205</v>
      </c>
      <c r="C84" s="34"/>
      <c r="D84" s="34"/>
      <c r="E84" s="34"/>
      <c r="F84" s="35"/>
      <c r="G84" s="35"/>
      <c r="H84" s="35"/>
      <c r="I84" s="35">
        <f>145000+2500</f>
        <v>147500</v>
      </c>
      <c r="J84" s="35">
        <f>145000+2500</f>
        <v>147500</v>
      </c>
      <c r="K84" s="35"/>
      <c r="L84" s="35"/>
    </row>
    <row r="85" spans="1:12" ht="12.75">
      <c r="A85" s="29" t="s">
        <v>92</v>
      </c>
      <c r="B85" s="116" t="s">
        <v>230</v>
      </c>
      <c r="C85" s="29"/>
      <c r="D85" s="29"/>
      <c r="E85" s="29">
        <v>2010</v>
      </c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113" t="s">
        <v>249</v>
      </c>
      <c r="C86" s="29"/>
      <c r="D86" s="29"/>
      <c r="E86" s="29"/>
      <c r="F86" s="31"/>
      <c r="G86" s="31"/>
      <c r="H86" s="31"/>
      <c r="I86" s="31">
        <v>250000</v>
      </c>
      <c r="J86" s="31"/>
      <c r="K86" s="31"/>
      <c r="L86" s="31"/>
    </row>
    <row r="87" spans="1:12" ht="12.75">
      <c r="A87" s="44" t="s">
        <v>72</v>
      </c>
      <c r="B87" s="78" t="s">
        <v>231</v>
      </c>
      <c r="C87" s="44"/>
      <c r="D87" s="44"/>
      <c r="E87" s="44">
        <v>2010</v>
      </c>
      <c r="F87" s="45"/>
      <c r="G87" s="45"/>
      <c r="H87" s="45"/>
      <c r="I87" s="45">
        <v>300000</v>
      </c>
      <c r="J87" s="45"/>
      <c r="K87" s="45"/>
      <c r="L87" s="45"/>
    </row>
    <row r="88" spans="1:12" ht="12.75">
      <c r="A88" s="36" t="s">
        <v>73</v>
      </c>
      <c r="B88" s="116" t="s">
        <v>232</v>
      </c>
      <c r="C88" s="29"/>
      <c r="D88" s="29"/>
      <c r="E88" s="29">
        <v>2010</v>
      </c>
      <c r="F88" s="31"/>
      <c r="G88" s="31"/>
      <c r="H88" s="31"/>
      <c r="I88" s="31">
        <v>274000</v>
      </c>
      <c r="J88" s="31"/>
      <c r="K88" s="31"/>
      <c r="L88" s="45"/>
    </row>
    <row r="89" spans="1:12" ht="12.75">
      <c r="A89" s="44" t="s">
        <v>74</v>
      </c>
      <c r="B89" s="78" t="s">
        <v>258</v>
      </c>
      <c r="C89" s="44"/>
      <c r="D89" s="44"/>
      <c r="E89" s="44">
        <v>2010</v>
      </c>
      <c r="F89" s="45"/>
      <c r="G89" s="45"/>
      <c r="H89" s="45"/>
      <c r="I89" s="45"/>
      <c r="J89" s="45">
        <f>300000-296500</f>
        <v>3500</v>
      </c>
      <c r="K89" s="45"/>
      <c r="L89" s="45"/>
    </row>
    <row r="90" spans="1:12" ht="12.75">
      <c r="A90" s="36" t="s">
        <v>75</v>
      </c>
      <c r="B90" s="116" t="s">
        <v>260</v>
      </c>
      <c r="C90" s="36"/>
      <c r="D90" s="36"/>
      <c r="E90" s="36">
        <v>2010</v>
      </c>
      <c r="F90" s="37"/>
      <c r="G90" s="37"/>
      <c r="H90" s="37"/>
      <c r="I90" s="37"/>
      <c r="J90" s="37"/>
      <c r="K90" s="37"/>
      <c r="L90" s="37"/>
    </row>
    <row r="91" spans="1:12" ht="12.75">
      <c r="A91" s="34"/>
      <c r="B91" s="114" t="s">
        <v>249</v>
      </c>
      <c r="C91" s="34"/>
      <c r="D91" s="34"/>
      <c r="E91" s="34"/>
      <c r="F91" s="35"/>
      <c r="G91" s="35"/>
      <c r="H91" s="35"/>
      <c r="I91" s="35"/>
      <c r="J91" s="35">
        <f>250000-246500</f>
        <v>3500</v>
      </c>
      <c r="K91" s="35"/>
      <c r="L91" s="35"/>
    </row>
    <row r="92" spans="1:12" ht="12.75">
      <c r="A92" s="36" t="s">
        <v>76</v>
      </c>
      <c r="B92" s="116" t="s">
        <v>261</v>
      </c>
      <c r="C92" s="36"/>
      <c r="D92" s="36"/>
      <c r="E92" s="36">
        <v>2010</v>
      </c>
      <c r="F92" s="37"/>
      <c r="G92" s="37"/>
      <c r="H92" s="37"/>
      <c r="I92" s="37"/>
      <c r="J92" s="37"/>
      <c r="K92" s="37"/>
      <c r="L92" s="37"/>
    </row>
    <row r="93" spans="1:12" ht="12.75">
      <c r="A93" s="34"/>
      <c r="B93" s="114" t="s">
        <v>262</v>
      </c>
      <c r="C93" s="34"/>
      <c r="D93" s="34"/>
      <c r="E93" s="34"/>
      <c r="F93" s="35"/>
      <c r="G93" s="35"/>
      <c r="H93" s="35"/>
      <c r="I93" s="35"/>
      <c r="J93" s="35">
        <f>70000-66500</f>
        <v>3500</v>
      </c>
      <c r="K93" s="35"/>
      <c r="L93" s="35"/>
    </row>
    <row r="94" spans="1:12" ht="12.75">
      <c r="A94" s="36" t="s">
        <v>77</v>
      </c>
      <c r="B94" s="30" t="s">
        <v>302</v>
      </c>
      <c r="C94" s="36"/>
      <c r="D94" s="36"/>
      <c r="E94" s="36">
        <v>2010</v>
      </c>
      <c r="F94" s="37"/>
      <c r="G94" s="37"/>
      <c r="H94" s="37"/>
      <c r="I94" s="37"/>
      <c r="J94" s="37"/>
      <c r="K94" s="37"/>
      <c r="L94" s="37"/>
    </row>
    <row r="95" spans="1:12" ht="12.75">
      <c r="A95" s="34"/>
      <c r="B95" s="33" t="s">
        <v>303</v>
      </c>
      <c r="C95" s="34"/>
      <c r="D95" s="34"/>
      <c r="E95" s="34"/>
      <c r="F95" s="35"/>
      <c r="G95" s="35"/>
      <c r="H95" s="35"/>
      <c r="I95" s="35"/>
      <c r="J95" s="35">
        <f>2557412-106000</f>
        <v>2451412</v>
      </c>
      <c r="K95" s="35"/>
      <c r="L95" s="35"/>
    </row>
    <row r="96" spans="1:12" ht="12.75">
      <c r="A96" s="29" t="s">
        <v>78</v>
      </c>
      <c r="B96" s="113" t="s">
        <v>296</v>
      </c>
      <c r="C96" s="29"/>
      <c r="D96" s="29"/>
      <c r="E96" s="29">
        <v>2010</v>
      </c>
      <c r="F96" s="31"/>
      <c r="G96" s="31"/>
      <c r="H96" s="31"/>
      <c r="I96" s="31"/>
      <c r="J96" s="31">
        <v>275000</v>
      </c>
      <c r="K96" s="31"/>
      <c r="L96" s="31"/>
    </row>
    <row r="97" spans="1:12" ht="12.75">
      <c r="A97" s="44"/>
      <c r="B97" s="164" t="s">
        <v>18</v>
      </c>
      <c r="C97" s="26"/>
      <c r="D97" s="26">
        <v>6057</v>
      </c>
      <c r="E97" s="44"/>
      <c r="F97" s="45"/>
      <c r="G97" s="45"/>
      <c r="H97" s="45"/>
      <c r="I97" s="45"/>
      <c r="J97" s="27">
        <f>SUM(J99)</f>
        <v>2803941.36</v>
      </c>
      <c r="K97" s="27">
        <f>SUM(K99)</f>
        <v>989471.71</v>
      </c>
      <c r="L97" s="27">
        <f>K97/J97*100</f>
        <v>35.28860211256344</v>
      </c>
    </row>
    <row r="98" spans="1:12" ht="12.75">
      <c r="A98" s="36" t="s">
        <v>79</v>
      </c>
      <c r="B98" s="165" t="s">
        <v>117</v>
      </c>
      <c r="C98" s="36"/>
      <c r="D98" s="36"/>
      <c r="E98" s="36">
        <v>2008</v>
      </c>
      <c r="F98" s="37"/>
      <c r="G98" s="37"/>
      <c r="H98" s="37"/>
      <c r="I98" s="37"/>
      <c r="J98" s="37"/>
      <c r="K98" s="37"/>
      <c r="L98" s="37"/>
    </row>
    <row r="99" spans="1:12" ht="12.75">
      <c r="A99" s="34"/>
      <c r="B99" s="176" t="s">
        <v>118</v>
      </c>
      <c r="C99" s="34"/>
      <c r="D99" s="34"/>
      <c r="E99" s="34"/>
      <c r="F99" s="35"/>
      <c r="G99" s="35"/>
      <c r="H99" s="35"/>
      <c r="I99" s="35"/>
      <c r="J99" s="35">
        <v>2803941.36</v>
      </c>
      <c r="K99" s="35">
        <v>989471.71</v>
      </c>
      <c r="L99" s="35">
        <f>K99/J99*100</f>
        <v>35.28860211256344</v>
      </c>
    </row>
    <row r="100" spans="1:12" ht="12.75">
      <c r="A100" s="151"/>
      <c r="B100" s="177"/>
      <c r="C100" s="151"/>
      <c r="D100" s="151"/>
      <c r="E100" s="151"/>
      <c r="F100" s="152"/>
      <c r="G100" s="152"/>
      <c r="H100" s="152"/>
      <c r="I100" s="152"/>
      <c r="J100" s="152"/>
      <c r="K100" s="152"/>
      <c r="L100" s="152"/>
    </row>
    <row r="101" spans="1:12" ht="13.5" thickBot="1">
      <c r="A101" s="216" t="s">
        <v>351</v>
      </c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</row>
    <row r="102" spans="1:12" s="5" customFormat="1" ht="13.5" thickBot="1">
      <c r="A102" s="17" t="s">
        <v>8</v>
      </c>
      <c r="B102" s="17" t="s">
        <v>9</v>
      </c>
      <c r="C102" s="17" t="s">
        <v>10</v>
      </c>
      <c r="D102" s="17" t="s">
        <v>11</v>
      </c>
      <c r="E102" s="17" t="s">
        <v>12</v>
      </c>
      <c r="F102" s="18" t="s">
        <v>13</v>
      </c>
      <c r="G102" s="19" t="s">
        <v>14</v>
      </c>
      <c r="H102" s="19" t="s">
        <v>15</v>
      </c>
      <c r="I102" s="19" t="s">
        <v>129</v>
      </c>
      <c r="J102" s="19" t="s">
        <v>256</v>
      </c>
      <c r="K102" s="19" t="s">
        <v>257</v>
      </c>
      <c r="L102" s="19" t="s">
        <v>255</v>
      </c>
    </row>
    <row r="103" spans="1:12" ht="12.75">
      <c r="A103" s="26"/>
      <c r="B103" s="164" t="s">
        <v>18</v>
      </c>
      <c r="C103" s="26"/>
      <c r="D103" s="26">
        <v>6059</v>
      </c>
      <c r="E103" s="44"/>
      <c r="F103" s="45"/>
      <c r="G103" s="45"/>
      <c r="H103" s="45"/>
      <c r="I103" s="45"/>
      <c r="J103" s="27">
        <f>SUM(J105)</f>
        <v>1216051.16</v>
      </c>
      <c r="K103" s="27">
        <f>SUM(K105)</f>
        <v>424261.26</v>
      </c>
      <c r="L103" s="27">
        <f>K103/J103*100</f>
        <v>34.88843841076555</v>
      </c>
    </row>
    <row r="104" spans="1:12" ht="12.75">
      <c r="A104" s="29" t="s">
        <v>80</v>
      </c>
      <c r="B104" s="178" t="s">
        <v>117</v>
      </c>
      <c r="C104" s="29"/>
      <c r="D104" s="29"/>
      <c r="E104" s="29">
        <v>2008</v>
      </c>
      <c r="F104" s="31"/>
      <c r="G104" s="31"/>
      <c r="H104" s="31"/>
      <c r="I104" s="31"/>
      <c r="J104" s="31"/>
      <c r="K104" s="31"/>
      <c r="L104" s="37"/>
    </row>
    <row r="105" spans="1:12" ht="13.5" thickBot="1">
      <c r="A105" s="29"/>
      <c r="B105" s="179" t="s">
        <v>118</v>
      </c>
      <c r="C105" s="29"/>
      <c r="D105" s="29"/>
      <c r="E105" s="29"/>
      <c r="F105" s="31"/>
      <c r="G105" s="31"/>
      <c r="H105" s="31"/>
      <c r="I105" s="31"/>
      <c r="J105" s="31">
        <v>1216051.16</v>
      </c>
      <c r="K105" s="31">
        <v>424261.26</v>
      </c>
      <c r="L105" s="35">
        <f>K105/J105*100</f>
        <v>34.88843841076555</v>
      </c>
    </row>
    <row r="106" spans="1:12" s="5" customFormat="1" ht="13.5" thickBot="1">
      <c r="A106" s="20"/>
      <c r="B106" s="180" t="s">
        <v>297</v>
      </c>
      <c r="C106" s="20">
        <v>630</v>
      </c>
      <c r="D106" s="20"/>
      <c r="E106" s="20"/>
      <c r="F106" s="22"/>
      <c r="G106" s="22"/>
      <c r="H106" s="22"/>
      <c r="I106" s="22"/>
      <c r="J106" s="22">
        <f>SUM(J107)</f>
        <v>480000</v>
      </c>
      <c r="K106" s="22"/>
      <c r="L106" s="22"/>
    </row>
    <row r="107" spans="1:12" s="25" customFormat="1" ht="13.5">
      <c r="A107" s="23"/>
      <c r="B107" s="129" t="s">
        <v>298</v>
      </c>
      <c r="C107" s="23">
        <v>63003</v>
      </c>
      <c r="D107" s="23"/>
      <c r="E107" s="23"/>
      <c r="F107" s="24"/>
      <c r="G107" s="24"/>
      <c r="H107" s="24"/>
      <c r="I107" s="24"/>
      <c r="J107" s="24">
        <f>SUM(J110,J116)</f>
        <v>480000</v>
      </c>
      <c r="K107" s="24"/>
      <c r="L107" s="24"/>
    </row>
    <row r="108" spans="1:12" ht="12.75">
      <c r="A108" s="29"/>
      <c r="B108" s="62" t="s">
        <v>250</v>
      </c>
      <c r="C108" s="54"/>
      <c r="D108" s="54"/>
      <c r="E108" s="29"/>
      <c r="F108" s="31"/>
      <c r="G108" s="31"/>
      <c r="H108" s="31"/>
      <c r="I108" s="31"/>
      <c r="J108" s="31"/>
      <c r="K108" s="31"/>
      <c r="L108" s="31"/>
    </row>
    <row r="109" spans="1:12" ht="12.75">
      <c r="A109" s="29"/>
      <c r="B109" s="181" t="s">
        <v>111</v>
      </c>
      <c r="C109" s="56"/>
      <c r="D109" s="56"/>
      <c r="E109" s="29"/>
      <c r="F109" s="31"/>
      <c r="G109" s="31"/>
      <c r="H109" s="31"/>
      <c r="I109" s="31"/>
      <c r="J109" s="31"/>
      <c r="K109" s="31"/>
      <c r="L109" s="31"/>
    </row>
    <row r="110" spans="1:12" ht="12.75">
      <c r="A110" s="29"/>
      <c r="B110" s="181" t="s">
        <v>360</v>
      </c>
      <c r="C110" s="56"/>
      <c r="D110" s="56">
        <v>6210</v>
      </c>
      <c r="E110" s="29"/>
      <c r="F110" s="31"/>
      <c r="G110" s="31"/>
      <c r="H110" s="31"/>
      <c r="I110" s="31"/>
      <c r="J110" s="57">
        <f>SUM(J113)</f>
        <v>155000</v>
      </c>
      <c r="K110" s="57"/>
      <c r="L110" s="31"/>
    </row>
    <row r="111" spans="1:12" ht="12.75">
      <c r="A111" s="36" t="s">
        <v>81</v>
      </c>
      <c r="B111" s="169" t="s">
        <v>153</v>
      </c>
      <c r="C111" s="36"/>
      <c r="D111" s="36"/>
      <c r="E111" s="36">
        <v>2009</v>
      </c>
      <c r="F111" s="37"/>
      <c r="G111" s="37"/>
      <c r="H111" s="37"/>
      <c r="I111" s="37"/>
      <c r="J111" s="37"/>
      <c r="K111" s="37"/>
      <c r="L111" s="37"/>
    </row>
    <row r="112" spans="1:12" ht="12.75">
      <c r="A112" s="29"/>
      <c r="B112" s="179" t="s">
        <v>154</v>
      </c>
      <c r="C112" s="29"/>
      <c r="D112" s="29"/>
      <c r="E112" s="29"/>
      <c r="F112" s="31"/>
      <c r="G112" s="31"/>
      <c r="H112" s="31"/>
      <c r="I112" s="31"/>
      <c r="J112" s="31"/>
      <c r="K112" s="31"/>
      <c r="L112" s="31"/>
    </row>
    <row r="113" spans="1:12" ht="12.75">
      <c r="A113" s="34"/>
      <c r="B113" s="176" t="s">
        <v>155</v>
      </c>
      <c r="C113" s="34"/>
      <c r="D113" s="34"/>
      <c r="E113" s="34"/>
      <c r="F113" s="35"/>
      <c r="G113" s="35"/>
      <c r="H113" s="35"/>
      <c r="I113" s="35"/>
      <c r="J113" s="35">
        <v>155000</v>
      </c>
      <c r="K113" s="35"/>
      <c r="L113" s="35"/>
    </row>
    <row r="114" spans="1:12" s="28" customFormat="1" ht="12.75">
      <c r="A114" s="54"/>
      <c r="B114" s="130" t="s">
        <v>299</v>
      </c>
      <c r="C114" s="54"/>
      <c r="D114" s="54">
        <v>6630</v>
      </c>
      <c r="E114" s="54"/>
      <c r="F114" s="55"/>
      <c r="G114" s="55"/>
      <c r="H114" s="55"/>
      <c r="I114" s="55"/>
      <c r="J114" s="55"/>
      <c r="K114" s="55"/>
      <c r="L114" s="55"/>
    </row>
    <row r="115" spans="1:12" s="28" customFormat="1" ht="12.75">
      <c r="A115" s="56"/>
      <c r="B115" s="131" t="s">
        <v>300</v>
      </c>
      <c r="C115" s="56"/>
      <c r="D115" s="56"/>
      <c r="E115" s="56"/>
      <c r="F115" s="57"/>
      <c r="G115" s="57"/>
      <c r="H115" s="57"/>
      <c r="I115" s="57"/>
      <c r="J115" s="57"/>
      <c r="K115" s="57"/>
      <c r="L115" s="57"/>
    </row>
    <row r="116" spans="1:12" s="28" customFormat="1" ht="12.75">
      <c r="A116" s="47"/>
      <c r="B116" s="132" t="s">
        <v>301</v>
      </c>
      <c r="C116" s="47"/>
      <c r="D116" s="47"/>
      <c r="E116" s="47"/>
      <c r="F116" s="48"/>
      <c r="G116" s="48"/>
      <c r="H116" s="48"/>
      <c r="I116" s="48"/>
      <c r="J116" s="48">
        <f>SUM(J118)</f>
        <v>325000</v>
      </c>
      <c r="K116" s="48"/>
      <c r="L116" s="48"/>
    </row>
    <row r="117" spans="1:12" ht="12.75">
      <c r="A117" s="29" t="s">
        <v>82</v>
      </c>
      <c r="B117" s="169" t="s">
        <v>304</v>
      </c>
      <c r="C117" s="29"/>
      <c r="D117" s="29"/>
      <c r="E117" s="29">
        <v>2010</v>
      </c>
      <c r="F117" s="31"/>
      <c r="G117" s="31"/>
      <c r="H117" s="31"/>
      <c r="I117" s="31"/>
      <c r="J117" s="31"/>
      <c r="K117" s="31"/>
      <c r="L117" s="31"/>
    </row>
    <row r="118" spans="1:12" ht="13.5" thickBot="1">
      <c r="A118" s="29"/>
      <c r="B118" s="179" t="s">
        <v>305</v>
      </c>
      <c r="C118" s="29"/>
      <c r="D118" s="29"/>
      <c r="E118" s="29"/>
      <c r="F118" s="31"/>
      <c r="G118" s="31"/>
      <c r="H118" s="31"/>
      <c r="I118" s="31"/>
      <c r="J118" s="31">
        <v>325000</v>
      </c>
      <c r="K118" s="31"/>
      <c r="L118" s="31"/>
    </row>
    <row r="119" spans="1:12" ht="13.5" thickBot="1">
      <c r="A119" s="20"/>
      <c r="B119" s="180" t="s">
        <v>24</v>
      </c>
      <c r="C119" s="20">
        <v>700</v>
      </c>
      <c r="D119" s="20"/>
      <c r="E119" s="20"/>
      <c r="F119" s="22"/>
      <c r="G119" s="22">
        <f>SUM(G120,G162)</f>
        <v>4148</v>
      </c>
      <c r="H119" s="22">
        <f>SUM(H120,H162)</f>
        <v>608340</v>
      </c>
      <c r="I119" s="22">
        <f>SUM(I120,I162)</f>
        <v>3633572</v>
      </c>
      <c r="J119" s="22">
        <f>SUM(J120,J162)</f>
        <v>4107572</v>
      </c>
      <c r="K119" s="22">
        <f>SUM(K120,K162)</f>
        <v>15924</v>
      </c>
      <c r="L119" s="22">
        <f>K119/J119*100</f>
        <v>0.3876742757035056</v>
      </c>
    </row>
    <row r="120" spans="1:12" s="5" customFormat="1" ht="13.5">
      <c r="A120" s="23"/>
      <c r="B120" s="163" t="s">
        <v>25</v>
      </c>
      <c r="C120" s="23">
        <v>70001</v>
      </c>
      <c r="D120" s="23"/>
      <c r="E120" s="23"/>
      <c r="F120" s="24"/>
      <c r="G120" s="24">
        <f>SUM(G123)</f>
        <v>4148</v>
      </c>
      <c r="H120" s="24">
        <f>SUM(H123)</f>
        <v>608340</v>
      </c>
      <c r="I120" s="24">
        <f>SUM(I123)</f>
        <v>3533572</v>
      </c>
      <c r="J120" s="24">
        <f>SUM(J123,J148,J158)</f>
        <v>4007572</v>
      </c>
      <c r="K120" s="24">
        <f>SUM(K123,K148,K158)</f>
        <v>14060</v>
      </c>
      <c r="L120" s="66">
        <f>K120/J120*100</f>
        <v>0.3508358677024393</v>
      </c>
    </row>
    <row r="121" spans="1:12" s="25" customFormat="1" ht="13.5">
      <c r="A121" s="54"/>
      <c r="B121" s="62" t="s">
        <v>250</v>
      </c>
      <c r="C121" s="54"/>
      <c r="D121" s="54"/>
      <c r="E121" s="54"/>
      <c r="F121" s="55"/>
      <c r="G121" s="55"/>
      <c r="H121" s="55"/>
      <c r="I121" s="55"/>
      <c r="J121" s="55"/>
      <c r="K121" s="55"/>
      <c r="L121" s="37"/>
    </row>
    <row r="122" spans="1:12" s="28" customFormat="1" ht="12.75">
      <c r="A122" s="56"/>
      <c r="B122" s="181" t="s">
        <v>111</v>
      </c>
      <c r="C122" s="56"/>
      <c r="D122" s="56"/>
      <c r="E122" s="56"/>
      <c r="F122" s="57"/>
      <c r="G122" s="57"/>
      <c r="H122" s="57"/>
      <c r="I122" s="57"/>
      <c r="J122" s="57"/>
      <c r="K122" s="57"/>
      <c r="L122" s="31"/>
    </row>
    <row r="123" spans="1:12" s="28" customFormat="1" ht="12.75">
      <c r="A123" s="56"/>
      <c r="B123" s="181" t="s">
        <v>360</v>
      </c>
      <c r="C123" s="56"/>
      <c r="D123" s="56">
        <v>6210</v>
      </c>
      <c r="E123" s="56"/>
      <c r="F123" s="57"/>
      <c r="G123" s="57">
        <f>SUM(G124,G126,G128,G130,G132,G135,G137,G139,G141,G142)</f>
        <v>4148</v>
      </c>
      <c r="H123" s="57">
        <f>SUM(H124,H126,H128,H130,H132,H135,H137,H139,H141,H142)</f>
        <v>608340</v>
      </c>
      <c r="I123" s="57">
        <f>SUM(I124,I126,I128,I130,I132,I135,I137,I139,I141,I142)</f>
        <v>3533572</v>
      </c>
      <c r="J123" s="57">
        <f>SUM(J124,J126,J128,J130,J132,J135,J137,J139,J141,J142,J144,J145)</f>
        <v>3680572</v>
      </c>
      <c r="K123" s="57">
        <f>SUM(K124,K126,K128,K130,K132,K135,K137,K139,K141,K142,K144,K145)</f>
        <v>14060</v>
      </c>
      <c r="L123" s="48">
        <f>K123/J123*100</f>
        <v>0.38200584039654706</v>
      </c>
    </row>
    <row r="124" spans="1:12" s="28" customFormat="1" ht="12.75">
      <c r="A124" s="44" t="s">
        <v>83</v>
      </c>
      <c r="B124" s="175" t="s">
        <v>135</v>
      </c>
      <c r="C124" s="44"/>
      <c r="D124" s="44"/>
      <c r="E124" s="44">
        <v>2009</v>
      </c>
      <c r="F124" s="45"/>
      <c r="G124" s="45"/>
      <c r="H124" s="45">
        <f>40000+35000-71340</f>
        <v>3660</v>
      </c>
      <c r="I124" s="45">
        <v>50000</v>
      </c>
      <c r="J124" s="45">
        <v>50000</v>
      </c>
      <c r="K124" s="45"/>
      <c r="L124" s="27"/>
    </row>
    <row r="125" spans="1:12" ht="12.75">
      <c r="A125" s="36" t="s">
        <v>84</v>
      </c>
      <c r="B125" s="169" t="s">
        <v>144</v>
      </c>
      <c r="C125" s="36"/>
      <c r="D125" s="36"/>
      <c r="E125" s="36">
        <v>2009</v>
      </c>
      <c r="F125" s="37"/>
      <c r="G125" s="37"/>
      <c r="H125" s="37"/>
      <c r="I125" s="37"/>
      <c r="J125" s="37"/>
      <c r="K125" s="37"/>
      <c r="L125" s="37"/>
    </row>
    <row r="126" spans="1:12" ht="12.75">
      <c r="A126" s="34"/>
      <c r="B126" s="166" t="s">
        <v>145</v>
      </c>
      <c r="C126" s="34"/>
      <c r="D126" s="34"/>
      <c r="E126" s="34"/>
      <c r="F126" s="35"/>
      <c r="G126" s="35"/>
      <c r="H126" s="35">
        <f>5000-360</f>
        <v>4640</v>
      </c>
      <c r="I126" s="35">
        <v>48000</v>
      </c>
      <c r="J126" s="35">
        <v>48000</v>
      </c>
      <c r="K126" s="35"/>
      <c r="L126" s="35"/>
    </row>
    <row r="127" spans="1:12" ht="12.75">
      <c r="A127" s="36" t="s">
        <v>85</v>
      </c>
      <c r="B127" s="169" t="s">
        <v>146</v>
      </c>
      <c r="C127" s="36"/>
      <c r="D127" s="36"/>
      <c r="E127" s="36">
        <v>2009</v>
      </c>
      <c r="F127" s="37"/>
      <c r="G127" s="37"/>
      <c r="H127" s="37"/>
      <c r="I127" s="37"/>
      <c r="J127" s="37"/>
      <c r="K127" s="37"/>
      <c r="L127" s="37"/>
    </row>
    <row r="128" spans="1:12" ht="12.75">
      <c r="A128" s="34"/>
      <c r="B128" s="176" t="s">
        <v>147</v>
      </c>
      <c r="C128" s="34"/>
      <c r="D128" s="34"/>
      <c r="E128" s="34"/>
      <c r="F128" s="35"/>
      <c r="G128" s="35"/>
      <c r="H128" s="35">
        <f>6500-1300</f>
        <v>5200</v>
      </c>
      <c r="I128" s="35">
        <v>26000</v>
      </c>
      <c r="J128" s="35">
        <v>26000</v>
      </c>
      <c r="K128" s="35"/>
      <c r="L128" s="35"/>
    </row>
    <row r="129" spans="1:12" ht="12.75">
      <c r="A129" s="36" t="s">
        <v>202</v>
      </c>
      <c r="B129" s="169" t="s">
        <v>146</v>
      </c>
      <c r="C129" s="36"/>
      <c r="D129" s="36"/>
      <c r="E129" s="36">
        <v>2009</v>
      </c>
      <c r="F129" s="37"/>
      <c r="G129" s="37"/>
      <c r="H129" s="37"/>
      <c r="I129" s="37"/>
      <c r="J129" s="37"/>
      <c r="K129" s="37"/>
      <c r="L129" s="37"/>
    </row>
    <row r="130" spans="1:12" ht="12.75">
      <c r="A130" s="34"/>
      <c r="B130" s="176" t="s">
        <v>148</v>
      </c>
      <c r="C130" s="34"/>
      <c r="D130" s="34"/>
      <c r="E130" s="34"/>
      <c r="F130" s="35"/>
      <c r="G130" s="35"/>
      <c r="H130" s="35">
        <f>6500-1300</f>
        <v>5200</v>
      </c>
      <c r="I130" s="35">
        <v>27000</v>
      </c>
      <c r="J130" s="35">
        <v>27000</v>
      </c>
      <c r="K130" s="35"/>
      <c r="L130" s="35"/>
    </row>
    <row r="131" spans="1:12" ht="12.75">
      <c r="A131" s="36" t="s">
        <v>86</v>
      </c>
      <c r="B131" s="169" t="s">
        <v>149</v>
      </c>
      <c r="C131" s="36"/>
      <c r="D131" s="36"/>
      <c r="E131" s="36">
        <v>2009</v>
      </c>
      <c r="F131" s="37"/>
      <c r="G131" s="37"/>
      <c r="H131" s="37"/>
      <c r="I131" s="37"/>
      <c r="J131" s="37"/>
      <c r="K131" s="37"/>
      <c r="L131" s="37"/>
    </row>
    <row r="132" spans="1:12" ht="12.75">
      <c r="A132" s="34"/>
      <c r="B132" s="176" t="s">
        <v>150</v>
      </c>
      <c r="C132" s="34"/>
      <c r="D132" s="34"/>
      <c r="E132" s="34"/>
      <c r="F132" s="35"/>
      <c r="G132" s="35"/>
      <c r="H132" s="35">
        <f>5000-360</f>
        <v>4640</v>
      </c>
      <c r="I132" s="35">
        <v>58000</v>
      </c>
      <c r="J132" s="35">
        <v>58000</v>
      </c>
      <c r="K132" s="35"/>
      <c r="L132" s="35"/>
    </row>
    <row r="133" spans="1:12" ht="12.75">
      <c r="A133" s="36" t="s">
        <v>87</v>
      </c>
      <c r="B133" s="169" t="s">
        <v>153</v>
      </c>
      <c r="C133" s="36"/>
      <c r="D133" s="36"/>
      <c r="E133" s="36">
        <v>2009</v>
      </c>
      <c r="F133" s="37"/>
      <c r="G133" s="37"/>
      <c r="H133" s="37"/>
      <c r="I133" s="37"/>
      <c r="J133" s="37"/>
      <c r="K133" s="37"/>
      <c r="L133" s="37"/>
    </row>
    <row r="134" spans="1:12" ht="12.75">
      <c r="A134" s="29"/>
      <c r="B134" s="179" t="s">
        <v>154</v>
      </c>
      <c r="C134" s="29"/>
      <c r="D134" s="29"/>
      <c r="E134" s="29"/>
      <c r="F134" s="31"/>
      <c r="G134" s="31"/>
      <c r="H134" s="31"/>
      <c r="I134" s="31"/>
      <c r="J134" s="31"/>
      <c r="K134" s="31"/>
      <c r="L134" s="31"/>
    </row>
    <row r="135" spans="1:12" ht="12.75">
      <c r="A135" s="34"/>
      <c r="B135" s="176" t="s">
        <v>155</v>
      </c>
      <c r="C135" s="34"/>
      <c r="D135" s="34"/>
      <c r="E135" s="34"/>
      <c r="F135" s="35"/>
      <c r="G135" s="35"/>
      <c r="H135" s="35">
        <f>25000-9000</f>
        <v>16000</v>
      </c>
      <c r="I135" s="35">
        <v>155000</v>
      </c>
      <c r="J135" s="35"/>
      <c r="K135" s="35"/>
      <c r="L135" s="35"/>
    </row>
    <row r="136" spans="1:12" ht="12.75">
      <c r="A136" s="36" t="s">
        <v>283</v>
      </c>
      <c r="B136" s="165" t="s">
        <v>117</v>
      </c>
      <c r="C136" s="36"/>
      <c r="D136" s="36"/>
      <c r="E136" s="36">
        <v>2009</v>
      </c>
      <c r="F136" s="58"/>
      <c r="G136" s="37"/>
      <c r="H136" s="37">
        <f>SUM(H137:H139)</f>
        <v>569000</v>
      </c>
      <c r="I136" s="37">
        <f>SUM(I137:I139)</f>
        <v>3151572</v>
      </c>
      <c r="J136" s="37">
        <f>SUM(J137:J139)</f>
        <v>2833572</v>
      </c>
      <c r="K136" s="37"/>
      <c r="L136" s="37"/>
    </row>
    <row r="137" spans="1:12" ht="12.75">
      <c r="A137" s="29"/>
      <c r="B137" s="179" t="s">
        <v>131</v>
      </c>
      <c r="C137" s="29"/>
      <c r="D137" s="29"/>
      <c r="E137" s="29"/>
      <c r="F137" s="59"/>
      <c r="G137" s="31"/>
      <c r="H137" s="31">
        <f>880000-393000</f>
        <v>487000</v>
      </c>
      <c r="I137" s="31">
        <v>2831572</v>
      </c>
      <c r="J137" s="31">
        <v>2831572</v>
      </c>
      <c r="K137" s="31"/>
      <c r="L137" s="31"/>
    </row>
    <row r="138" spans="1:12" ht="12.75">
      <c r="A138" s="29"/>
      <c r="B138" s="179" t="s">
        <v>151</v>
      </c>
      <c r="C138" s="29"/>
      <c r="D138" s="29"/>
      <c r="E138" s="29"/>
      <c r="F138" s="59"/>
      <c r="G138" s="31"/>
      <c r="H138" s="31"/>
      <c r="I138" s="31"/>
      <c r="J138" s="31"/>
      <c r="K138" s="31"/>
      <c r="L138" s="31"/>
    </row>
    <row r="139" spans="1:12" ht="12.75">
      <c r="A139" s="34"/>
      <c r="B139" s="176" t="s">
        <v>152</v>
      </c>
      <c r="C139" s="34"/>
      <c r="D139" s="34"/>
      <c r="E139" s="34"/>
      <c r="F139" s="60"/>
      <c r="G139" s="35"/>
      <c r="H139" s="35">
        <f>150000-68000</f>
        <v>82000</v>
      </c>
      <c r="I139" s="35">
        <v>320000</v>
      </c>
      <c r="J139" s="35">
        <f>320000-318000</f>
        <v>2000</v>
      </c>
      <c r="K139" s="35"/>
      <c r="L139" s="35"/>
    </row>
    <row r="140" spans="1:12" ht="12.75">
      <c r="A140" s="36" t="s">
        <v>39</v>
      </c>
      <c r="B140" s="171" t="s">
        <v>170</v>
      </c>
      <c r="C140" s="36"/>
      <c r="D140" s="36"/>
      <c r="E140" s="36">
        <v>2008</v>
      </c>
      <c r="F140" s="37"/>
      <c r="G140" s="37"/>
      <c r="H140" s="37"/>
      <c r="I140" s="37"/>
      <c r="J140" s="37"/>
      <c r="K140" s="37"/>
      <c r="L140" s="37"/>
    </row>
    <row r="141" spans="1:12" ht="12.75">
      <c r="A141" s="34"/>
      <c r="B141" s="176" t="s">
        <v>171</v>
      </c>
      <c r="C141" s="34"/>
      <c r="D141" s="34"/>
      <c r="E141" s="34"/>
      <c r="F141" s="35"/>
      <c r="G141" s="35">
        <v>4148</v>
      </c>
      <c r="H141" s="35"/>
      <c r="I141" s="35">
        <v>8000</v>
      </c>
      <c r="J141" s="35">
        <v>8000</v>
      </c>
      <c r="K141" s="35">
        <v>30</v>
      </c>
      <c r="L141" s="35">
        <f>K141/J141*100</f>
        <v>0.375</v>
      </c>
    </row>
    <row r="142" spans="1:12" ht="12.75">
      <c r="A142" s="44" t="s">
        <v>41</v>
      </c>
      <c r="B142" s="173" t="s">
        <v>172</v>
      </c>
      <c r="C142" s="44"/>
      <c r="D142" s="44"/>
      <c r="E142" s="44">
        <v>2010</v>
      </c>
      <c r="F142" s="45"/>
      <c r="G142" s="45"/>
      <c r="H142" s="45"/>
      <c r="I142" s="45">
        <v>10000</v>
      </c>
      <c r="J142" s="45"/>
      <c r="K142" s="45"/>
      <c r="L142" s="45"/>
    </row>
    <row r="143" spans="1:12" ht="12.75">
      <c r="A143" s="36" t="s">
        <v>203</v>
      </c>
      <c r="B143" s="116" t="s">
        <v>264</v>
      </c>
      <c r="C143" s="36"/>
      <c r="D143" s="36"/>
      <c r="E143" s="36">
        <v>2010</v>
      </c>
      <c r="F143" s="37"/>
      <c r="G143" s="37"/>
      <c r="H143" s="37"/>
      <c r="I143" s="37"/>
      <c r="J143" s="37"/>
      <c r="K143" s="37"/>
      <c r="L143" s="37"/>
    </row>
    <row r="144" spans="1:12" ht="12.75">
      <c r="A144" s="34"/>
      <c r="B144" s="114" t="s">
        <v>265</v>
      </c>
      <c r="C144" s="34"/>
      <c r="D144" s="34"/>
      <c r="E144" s="34"/>
      <c r="F144" s="35"/>
      <c r="G144" s="35"/>
      <c r="H144" s="35"/>
      <c r="I144" s="35"/>
      <c r="J144" s="35">
        <v>450000</v>
      </c>
      <c r="K144" s="35">
        <v>14030</v>
      </c>
      <c r="L144" s="35">
        <f>K144/J144*100</f>
        <v>3.1177777777777775</v>
      </c>
    </row>
    <row r="145" spans="1:12" ht="12.75">
      <c r="A145" s="29" t="s">
        <v>42</v>
      </c>
      <c r="B145" s="113" t="s">
        <v>337</v>
      </c>
      <c r="C145" s="29"/>
      <c r="D145" s="29"/>
      <c r="E145" s="29">
        <v>2010</v>
      </c>
      <c r="F145" s="31"/>
      <c r="G145" s="31"/>
      <c r="H145" s="31"/>
      <c r="I145" s="31"/>
      <c r="J145" s="31">
        <v>180000</v>
      </c>
      <c r="K145" s="31"/>
      <c r="L145" s="31"/>
    </row>
    <row r="146" spans="1:12" ht="12.75">
      <c r="A146" s="36"/>
      <c r="B146" s="62" t="s">
        <v>250</v>
      </c>
      <c r="C146" s="54"/>
      <c r="D146" s="54"/>
      <c r="E146" s="36"/>
      <c r="F146" s="37"/>
      <c r="G146" s="37"/>
      <c r="H146" s="37"/>
      <c r="I146" s="37"/>
      <c r="J146" s="37"/>
      <c r="K146" s="37"/>
      <c r="L146" s="37"/>
    </row>
    <row r="147" spans="1:12" ht="12.75">
      <c r="A147" s="29"/>
      <c r="B147" s="181" t="s">
        <v>111</v>
      </c>
      <c r="C147" s="56"/>
      <c r="D147" s="56"/>
      <c r="E147" s="29"/>
      <c r="F147" s="31"/>
      <c r="G147" s="31"/>
      <c r="H147" s="31"/>
      <c r="I147" s="31"/>
      <c r="J147" s="31"/>
      <c r="K147" s="31"/>
      <c r="L147" s="31"/>
    </row>
    <row r="148" spans="1:12" ht="12.75">
      <c r="A148" s="34"/>
      <c r="B148" s="181" t="s">
        <v>360</v>
      </c>
      <c r="C148" s="47"/>
      <c r="D148" s="47">
        <v>6217</v>
      </c>
      <c r="E148" s="34"/>
      <c r="F148" s="35"/>
      <c r="G148" s="35"/>
      <c r="H148" s="35"/>
      <c r="I148" s="35"/>
      <c r="J148" s="48">
        <f>SUM(J155)</f>
        <v>228900</v>
      </c>
      <c r="K148" s="48"/>
      <c r="L148" s="35"/>
    </row>
    <row r="149" spans="1:12" ht="12.75">
      <c r="A149" s="151"/>
      <c r="B149" s="182"/>
      <c r="C149" s="154"/>
      <c r="D149" s="154"/>
      <c r="E149" s="151"/>
      <c r="F149" s="152"/>
      <c r="G149" s="152"/>
      <c r="H149" s="152"/>
      <c r="I149" s="152"/>
      <c r="J149" s="155"/>
      <c r="K149" s="155"/>
      <c r="L149" s="152"/>
    </row>
    <row r="150" spans="1:12" ht="12.75">
      <c r="A150" s="6"/>
      <c r="B150" s="183"/>
      <c r="C150" s="156"/>
      <c r="D150" s="156"/>
      <c r="E150" s="6"/>
      <c r="F150" s="9"/>
      <c r="G150" s="9"/>
      <c r="H150" s="9"/>
      <c r="I150" s="9"/>
      <c r="J150" s="157"/>
      <c r="K150" s="157"/>
      <c r="L150" s="9"/>
    </row>
    <row r="151" spans="1:12" ht="13.5" thickBot="1">
      <c r="A151" s="216" t="s">
        <v>352</v>
      </c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</row>
    <row r="152" spans="1:12" s="5" customFormat="1" ht="13.5" thickBot="1">
      <c r="A152" s="17" t="s">
        <v>8</v>
      </c>
      <c r="B152" s="17" t="s">
        <v>9</v>
      </c>
      <c r="C152" s="17" t="s">
        <v>10</v>
      </c>
      <c r="D152" s="17" t="s">
        <v>11</v>
      </c>
      <c r="E152" s="17" t="s">
        <v>12</v>
      </c>
      <c r="F152" s="18" t="s">
        <v>13</v>
      </c>
      <c r="G152" s="19" t="s">
        <v>14</v>
      </c>
      <c r="H152" s="19" t="s">
        <v>15</v>
      </c>
      <c r="I152" s="19" t="s">
        <v>129</v>
      </c>
      <c r="J152" s="19" t="s">
        <v>256</v>
      </c>
      <c r="K152" s="19" t="s">
        <v>257</v>
      </c>
      <c r="L152" s="19" t="s">
        <v>255</v>
      </c>
    </row>
    <row r="153" spans="1:12" ht="12" customHeight="1">
      <c r="A153" s="36" t="s">
        <v>43</v>
      </c>
      <c r="B153" s="165" t="s">
        <v>307</v>
      </c>
      <c r="C153" s="36"/>
      <c r="D153" s="36"/>
      <c r="E153" s="36">
        <v>2009</v>
      </c>
      <c r="F153" s="37"/>
      <c r="G153" s="37"/>
      <c r="H153" s="37"/>
      <c r="I153" s="37"/>
      <c r="J153" s="37"/>
      <c r="K153" s="37"/>
      <c r="L153" s="37"/>
    </row>
    <row r="154" spans="1:12" ht="12" customHeight="1">
      <c r="A154" s="29"/>
      <c r="B154" s="178" t="s">
        <v>306</v>
      </c>
      <c r="C154" s="29"/>
      <c r="D154" s="29"/>
      <c r="E154" s="29"/>
      <c r="F154" s="31"/>
      <c r="G154" s="31"/>
      <c r="H154" s="31"/>
      <c r="I154" s="31"/>
      <c r="J154" s="31"/>
      <c r="K154" s="31"/>
      <c r="L154" s="31"/>
    </row>
    <row r="155" spans="1:12" ht="12" customHeight="1">
      <c r="A155" s="34"/>
      <c r="B155" s="176" t="s">
        <v>358</v>
      </c>
      <c r="C155" s="34"/>
      <c r="D155" s="34"/>
      <c r="E155" s="34"/>
      <c r="F155" s="35"/>
      <c r="G155" s="35"/>
      <c r="H155" s="35"/>
      <c r="I155" s="35"/>
      <c r="J155" s="35">
        <v>228900</v>
      </c>
      <c r="K155" s="35"/>
      <c r="L155" s="35"/>
    </row>
    <row r="156" spans="1:12" ht="12" customHeight="1">
      <c r="A156" s="36"/>
      <c r="B156" s="62" t="s">
        <v>250</v>
      </c>
      <c r="C156" s="54"/>
      <c r="D156" s="54"/>
      <c r="E156" s="36"/>
      <c r="F156" s="37"/>
      <c r="G156" s="37"/>
      <c r="H156" s="37"/>
      <c r="I156" s="37"/>
      <c r="J156" s="37"/>
      <c r="K156" s="37"/>
      <c r="L156" s="37"/>
    </row>
    <row r="157" spans="1:12" ht="12" customHeight="1">
      <c r="A157" s="29"/>
      <c r="B157" s="181" t="s">
        <v>111</v>
      </c>
      <c r="C157" s="56"/>
      <c r="D157" s="56"/>
      <c r="E157" s="29"/>
      <c r="F157" s="31"/>
      <c r="G157" s="31"/>
      <c r="H157" s="31"/>
      <c r="I157" s="31"/>
      <c r="J157" s="31"/>
      <c r="K157" s="31"/>
      <c r="L157" s="31"/>
    </row>
    <row r="158" spans="1:12" ht="12" customHeight="1">
      <c r="A158" s="34"/>
      <c r="B158" s="181" t="s">
        <v>360</v>
      </c>
      <c r="C158" s="47"/>
      <c r="D158" s="47">
        <v>6219</v>
      </c>
      <c r="E158" s="34"/>
      <c r="F158" s="35"/>
      <c r="G158" s="35"/>
      <c r="H158" s="35"/>
      <c r="I158" s="35"/>
      <c r="J158" s="48">
        <f>SUM(J161)</f>
        <v>98100</v>
      </c>
      <c r="K158" s="48"/>
      <c r="L158" s="35"/>
    </row>
    <row r="159" spans="1:12" ht="12" customHeight="1">
      <c r="A159" s="36" t="s">
        <v>44</v>
      </c>
      <c r="B159" s="165" t="s">
        <v>307</v>
      </c>
      <c r="C159" s="36"/>
      <c r="D159" s="36"/>
      <c r="E159" s="36">
        <v>2009</v>
      </c>
      <c r="F159" s="37"/>
      <c r="G159" s="37"/>
      <c r="H159" s="37"/>
      <c r="I159" s="37"/>
      <c r="J159" s="37"/>
      <c r="K159" s="37"/>
      <c r="L159" s="37"/>
    </row>
    <row r="160" spans="1:12" ht="12" customHeight="1">
      <c r="A160" s="29"/>
      <c r="B160" s="178" t="s">
        <v>306</v>
      </c>
      <c r="C160" s="29"/>
      <c r="D160" s="29"/>
      <c r="E160" s="29"/>
      <c r="F160" s="31"/>
      <c r="G160" s="31"/>
      <c r="H160" s="31"/>
      <c r="I160" s="31"/>
      <c r="J160" s="31"/>
      <c r="K160" s="31"/>
      <c r="L160" s="31"/>
    </row>
    <row r="161" spans="1:12" ht="12" customHeight="1">
      <c r="A161" s="34"/>
      <c r="B161" s="176" t="s">
        <v>358</v>
      </c>
      <c r="C161" s="34"/>
      <c r="D161" s="34"/>
      <c r="E161" s="34"/>
      <c r="F161" s="35"/>
      <c r="G161" s="35"/>
      <c r="H161" s="35"/>
      <c r="I161" s="35"/>
      <c r="J161" s="35">
        <v>98100</v>
      </c>
      <c r="K161" s="35"/>
      <c r="L161" s="31"/>
    </row>
    <row r="162" spans="1:12" ht="12" customHeight="1">
      <c r="A162" s="52"/>
      <c r="B162" s="174" t="s">
        <v>26</v>
      </c>
      <c r="C162" s="52">
        <v>70005</v>
      </c>
      <c r="D162" s="52"/>
      <c r="E162" s="52"/>
      <c r="F162" s="53"/>
      <c r="G162" s="53"/>
      <c r="H162" s="53"/>
      <c r="I162" s="53">
        <f>SUM(I163)</f>
        <v>100000</v>
      </c>
      <c r="J162" s="53">
        <f>SUM(J163)</f>
        <v>100000</v>
      </c>
      <c r="K162" s="53">
        <f>SUM(K163)</f>
        <v>1864</v>
      </c>
      <c r="L162" s="53">
        <f>K162/J162*100</f>
        <v>1.864</v>
      </c>
    </row>
    <row r="163" spans="1:12" s="25" customFormat="1" ht="12" customHeight="1">
      <c r="A163" s="56"/>
      <c r="B163" s="61" t="s">
        <v>23</v>
      </c>
      <c r="C163" s="36"/>
      <c r="D163" s="62">
        <v>6060</v>
      </c>
      <c r="E163" s="56"/>
      <c r="F163" s="57"/>
      <c r="G163" s="57"/>
      <c r="H163" s="57"/>
      <c r="I163" s="57">
        <f>SUM(I164:I165)</f>
        <v>100000</v>
      </c>
      <c r="J163" s="57">
        <f>SUM(J164:J165)</f>
        <v>100000</v>
      </c>
      <c r="K163" s="57">
        <f>SUM(K164:K165)</f>
        <v>1864</v>
      </c>
      <c r="L163" s="27">
        <f>K163/J163*100</f>
        <v>1.864</v>
      </c>
    </row>
    <row r="164" spans="1:12" s="28" customFormat="1" ht="12" customHeight="1">
      <c r="A164" s="36" t="s">
        <v>46</v>
      </c>
      <c r="B164" s="63" t="s">
        <v>107</v>
      </c>
      <c r="C164" s="36"/>
      <c r="D164" s="36"/>
      <c r="E164" s="36">
        <v>2010</v>
      </c>
      <c r="F164" s="37"/>
      <c r="G164" s="37"/>
      <c r="H164" s="37"/>
      <c r="I164" s="37"/>
      <c r="J164" s="37"/>
      <c r="K164" s="37"/>
      <c r="L164" s="55"/>
    </row>
    <row r="165" spans="1:12" ht="12" customHeight="1" thickBot="1">
      <c r="A165" s="34"/>
      <c r="B165" s="64" t="s">
        <v>106</v>
      </c>
      <c r="C165" s="34"/>
      <c r="D165" s="34"/>
      <c r="E165" s="34"/>
      <c r="F165" s="35"/>
      <c r="G165" s="35"/>
      <c r="H165" s="35"/>
      <c r="I165" s="35">
        <v>100000</v>
      </c>
      <c r="J165" s="35">
        <v>100000</v>
      </c>
      <c r="K165" s="35">
        <v>1864</v>
      </c>
      <c r="L165" s="35">
        <f>K165/J165*100</f>
        <v>1.864</v>
      </c>
    </row>
    <row r="166" spans="1:12" s="5" customFormat="1" ht="12" customHeight="1" thickBot="1">
      <c r="A166" s="20"/>
      <c r="B166" s="180" t="s">
        <v>27</v>
      </c>
      <c r="C166" s="20">
        <v>750</v>
      </c>
      <c r="D166" s="20"/>
      <c r="E166" s="20"/>
      <c r="F166" s="22">
        <f>SUM(F167)</f>
        <v>203698</v>
      </c>
      <c r="G166" s="22">
        <f>SUM(G167)</f>
        <v>316374</v>
      </c>
      <c r="H166" s="22">
        <f>SUM(H167)</f>
        <v>181900</v>
      </c>
      <c r="I166" s="22">
        <f>SUM(I167,)</f>
        <v>309200</v>
      </c>
      <c r="J166" s="22">
        <f>SUM(J167,)</f>
        <v>325200</v>
      </c>
      <c r="K166" s="22"/>
      <c r="L166" s="22"/>
    </row>
    <row r="167" spans="1:12" s="5" customFormat="1" ht="12" customHeight="1">
      <c r="A167" s="65"/>
      <c r="B167" s="184" t="s">
        <v>28</v>
      </c>
      <c r="C167" s="65">
        <v>75023</v>
      </c>
      <c r="D167" s="65"/>
      <c r="E167" s="65"/>
      <c r="F167" s="66">
        <f>SUM(F168,F176)</f>
        <v>203698</v>
      </c>
      <c r="G167" s="66">
        <f>SUM(G168,G176)</f>
        <v>316374</v>
      </c>
      <c r="H167" s="66">
        <f>SUM(H168,H176)</f>
        <v>181900</v>
      </c>
      <c r="I167" s="66">
        <f>SUM(I168,I176)</f>
        <v>309200</v>
      </c>
      <c r="J167" s="66">
        <f>SUM(J168,J176)</f>
        <v>325200</v>
      </c>
      <c r="K167" s="66"/>
      <c r="L167" s="100"/>
    </row>
    <row r="168" spans="1:12" s="25" customFormat="1" ht="12.75" customHeight="1">
      <c r="A168" s="36"/>
      <c r="B168" s="62" t="s">
        <v>18</v>
      </c>
      <c r="C168" s="54"/>
      <c r="D168" s="54">
        <v>6050</v>
      </c>
      <c r="E168" s="36"/>
      <c r="F168" s="55">
        <f>SUM(F173:F175)</f>
        <v>67073</v>
      </c>
      <c r="G168" s="55">
        <f>SUM(G173:G175)</f>
        <v>35552</v>
      </c>
      <c r="H168" s="55">
        <f>SUM(H173,H175,)</f>
        <v>4400</v>
      </c>
      <c r="I168" s="55">
        <f>SUM(I173,I175,)</f>
        <v>269200</v>
      </c>
      <c r="J168" s="55">
        <f>SUM(J173,J175,)</f>
        <v>129200</v>
      </c>
      <c r="K168" s="55"/>
      <c r="L168" s="53"/>
    </row>
    <row r="169" spans="1:12" ht="12" customHeight="1">
      <c r="A169" s="36" t="s">
        <v>56</v>
      </c>
      <c r="B169" s="185" t="s">
        <v>136</v>
      </c>
      <c r="C169" s="54"/>
      <c r="D169" s="54"/>
      <c r="E169" s="36"/>
      <c r="F169" s="55"/>
      <c r="G169" s="55"/>
      <c r="H169" s="55"/>
      <c r="I169" s="55"/>
      <c r="J169" s="55"/>
      <c r="K169" s="55"/>
      <c r="L169" s="37"/>
    </row>
    <row r="170" spans="1:12" ht="12.75">
      <c r="A170" s="29"/>
      <c r="B170" s="67" t="s">
        <v>137</v>
      </c>
      <c r="C170" s="56"/>
      <c r="D170" s="56"/>
      <c r="E170" s="29"/>
      <c r="F170" s="57"/>
      <c r="G170" s="57"/>
      <c r="H170" s="57"/>
      <c r="I170" s="57"/>
      <c r="J170" s="57"/>
      <c r="K170" s="57"/>
      <c r="L170" s="31"/>
    </row>
    <row r="171" spans="1:12" ht="12.75">
      <c r="A171" s="29"/>
      <c r="B171" s="67" t="s">
        <v>138</v>
      </c>
      <c r="C171" s="56"/>
      <c r="D171" s="56"/>
      <c r="E171" s="29"/>
      <c r="F171" s="57"/>
      <c r="G171" s="57"/>
      <c r="H171" s="57"/>
      <c r="I171" s="57"/>
      <c r="J171" s="57"/>
      <c r="K171" s="57"/>
      <c r="L171" s="31"/>
    </row>
    <row r="172" spans="1:12" ht="12.75">
      <c r="A172" s="29"/>
      <c r="B172" s="186" t="s">
        <v>140</v>
      </c>
      <c r="C172" s="56"/>
      <c r="D172" s="56"/>
      <c r="E172" s="29"/>
      <c r="F172" s="57"/>
      <c r="G172" s="57"/>
      <c r="H172" s="57"/>
      <c r="I172" s="57"/>
      <c r="J172" s="57"/>
      <c r="K172" s="57"/>
      <c r="L172" s="31"/>
    </row>
    <row r="173" spans="1:12" ht="12.75">
      <c r="A173" s="34"/>
      <c r="B173" s="187" t="s">
        <v>139</v>
      </c>
      <c r="C173" s="34"/>
      <c r="D173" s="34"/>
      <c r="E173" s="34">
        <v>2002</v>
      </c>
      <c r="F173" s="35">
        <v>67073</v>
      </c>
      <c r="G173" s="35">
        <v>35552</v>
      </c>
      <c r="H173" s="35">
        <f>520000-515600</f>
        <v>4400</v>
      </c>
      <c r="I173" s="35">
        <f>400000+6000-238400</f>
        <v>167600</v>
      </c>
      <c r="J173" s="35">
        <f>400000+6000-238400-140000</f>
        <v>27600</v>
      </c>
      <c r="K173" s="35"/>
      <c r="L173" s="35"/>
    </row>
    <row r="174" spans="1:12" ht="12.75">
      <c r="A174" s="36" t="s">
        <v>48</v>
      </c>
      <c r="B174" s="165" t="s">
        <v>97</v>
      </c>
      <c r="C174" s="36"/>
      <c r="D174" s="36"/>
      <c r="E174" s="36"/>
      <c r="F174" s="37"/>
      <c r="G174" s="37"/>
      <c r="H174" s="37"/>
      <c r="I174" s="37"/>
      <c r="J174" s="37"/>
      <c r="K174" s="37"/>
      <c r="L174" s="37"/>
    </row>
    <row r="175" spans="1:12" ht="12.75">
      <c r="A175" s="34"/>
      <c r="B175" s="166" t="s">
        <v>98</v>
      </c>
      <c r="C175" s="34"/>
      <c r="D175" s="34"/>
      <c r="E175" s="34">
        <v>2009</v>
      </c>
      <c r="F175" s="35"/>
      <c r="G175" s="35"/>
      <c r="H175" s="35"/>
      <c r="I175" s="35">
        <f>100000+1600</f>
        <v>101600</v>
      </c>
      <c r="J175" s="35">
        <f>100000+1600</f>
        <v>101600</v>
      </c>
      <c r="K175" s="35"/>
      <c r="L175" s="35"/>
    </row>
    <row r="176" spans="1:12" ht="12.75">
      <c r="A176" s="29"/>
      <c r="B176" s="181" t="s">
        <v>23</v>
      </c>
      <c r="C176" s="29"/>
      <c r="D176" s="56">
        <v>6060</v>
      </c>
      <c r="E176" s="29"/>
      <c r="F176" s="57">
        <f>SUM(F181:F181)</f>
        <v>136625</v>
      </c>
      <c r="G176" s="57">
        <f>SUM(G181:G181)</f>
        <v>280822</v>
      </c>
      <c r="H176" s="57">
        <f>SUM(H181,)</f>
        <v>177500</v>
      </c>
      <c r="I176" s="57">
        <f>SUM(I181)</f>
        <v>40000</v>
      </c>
      <c r="J176" s="57">
        <f>SUM(J181)</f>
        <v>196000</v>
      </c>
      <c r="K176" s="57"/>
      <c r="L176" s="45"/>
    </row>
    <row r="177" spans="1:12" ht="12.75">
      <c r="A177" s="36" t="s">
        <v>207</v>
      </c>
      <c r="B177" s="185" t="s">
        <v>136</v>
      </c>
      <c r="C177" s="36"/>
      <c r="D177" s="36"/>
      <c r="E177" s="36"/>
      <c r="F177" s="37"/>
      <c r="G177" s="37"/>
      <c r="H177" s="37"/>
      <c r="I177" s="37"/>
      <c r="J177" s="37"/>
      <c r="K177" s="37"/>
      <c r="L177" s="37"/>
    </row>
    <row r="178" spans="1:12" ht="12.75">
      <c r="A178" s="29"/>
      <c r="B178" s="67" t="s">
        <v>137</v>
      </c>
      <c r="C178" s="29"/>
      <c r="D178" s="29"/>
      <c r="E178" s="29"/>
      <c r="F178" s="31"/>
      <c r="G178" s="31"/>
      <c r="H178" s="31"/>
      <c r="I178" s="31"/>
      <c r="J178" s="31"/>
      <c r="K178" s="31"/>
      <c r="L178" s="31"/>
    </row>
    <row r="179" spans="1:12" ht="12.75">
      <c r="A179" s="29"/>
      <c r="B179" s="67" t="s">
        <v>138</v>
      </c>
      <c r="C179" s="29"/>
      <c r="D179" s="29"/>
      <c r="E179" s="29"/>
      <c r="F179" s="31"/>
      <c r="G179" s="31"/>
      <c r="H179" s="31"/>
      <c r="I179" s="31"/>
      <c r="J179" s="31"/>
      <c r="K179" s="31"/>
      <c r="L179" s="31"/>
    </row>
    <row r="180" spans="1:12" ht="12.75">
      <c r="A180" s="29"/>
      <c r="B180" s="186" t="s">
        <v>140</v>
      </c>
      <c r="C180" s="29"/>
      <c r="D180" s="29"/>
      <c r="E180" s="29"/>
      <c r="F180" s="31"/>
      <c r="G180" s="31"/>
      <c r="H180" s="31"/>
      <c r="I180" s="31"/>
      <c r="J180" s="31"/>
      <c r="K180" s="31"/>
      <c r="L180" s="31"/>
    </row>
    <row r="181" spans="1:12" ht="13.5" thickBot="1">
      <c r="A181" s="29"/>
      <c r="B181" s="186" t="s">
        <v>139</v>
      </c>
      <c r="C181" s="29"/>
      <c r="D181" s="29"/>
      <c r="E181" s="29">
        <v>2002</v>
      </c>
      <c r="F181" s="31">
        <v>136625</v>
      </c>
      <c r="G181" s="31">
        <v>280822</v>
      </c>
      <c r="H181" s="31">
        <f>280000-102500</f>
        <v>177500</v>
      </c>
      <c r="I181" s="31">
        <f>100000+1600+238400-300000</f>
        <v>40000</v>
      </c>
      <c r="J181" s="31">
        <f>100000+1600+238400-300000+156000</f>
        <v>196000</v>
      </c>
      <c r="K181" s="31"/>
      <c r="L181" s="90"/>
    </row>
    <row r="182" spans="1:12" ht="13.5" thickBot="1">
      <c r="A182" s="20"/>
      <c r="B182" s="180" t="s">
        <v>29</v>
      </c>
      <c r="C182" s="20">
        <v>754</v>
      </c>
      <c r="D182" s="20"/>
      <c r="E182" s="20"/>
      <c r="F182" s="22"/>
      <c r="G182" s="22"/>
      <c r="H182" s="22"/>
      <c r="I182" s="22">
        <f>SUM(I191)</f>
        <v>5000</v>
      </c>
      <c r="J182" s="22">
        <f>SUM(J183,J191)</f>
        <v>605000</v>
      </c>
      <c r="K182" s="22"/>
      <c r="L182" s="118"/>
    </row>
    <row r="183" spans="1:12" s="28" customFormat="1" ht="13.5">
      <c r="A183" s="23"/>
      <c r="B183" s="163" t="s">
        <v>284</v>
      </c>
      <c r="C183" s="23">
        <v>75411</v>
      </c>
      <c r="D183" s="23"/>
      <c r="E183" s="23"/>
      <c r="F183" s="24"/>
      <c r="G183" s="24"/>
      <c r="H183" s="24"/>
      <c r="I183" s="24"/>
      <c r="J183" s="24">
        <f>SUM(J184)</f>
        <v>600000</v>
      </c>
      <c r="K183" s="24"/>
      <c r="L183" s="121"/>
    </row>
    <row r="184" spans="1:12" ht="12.75">
      <c r="A184" s="101"/>
      <c r="B184" s="123" t="s">
        <v>285</v>
      </c>
      <c r="C184" s="101"/>
      <c r="D184" s="101"/>
      <c r="E184" s="101"/>
      <c r="F184" s="102"/>
      <c r="G184" s="102"/>
      <c r="H184" s="102"/>
      <c r="I184" s="102"/>
      <c r="J184" s="102">
        <f>SUM(J185)</f>
        <v>600000</v>
      </c>
      <c r="K184" s="102"/>
      <c r="L184" s="45"/>
    </row>
    <row r="185" spans="1:12" ht="12.75">
      <c r="A185" s="101"/>
      <c r="B185" s="124" t="s">
        <v>286</v>
      </c>
      <c r="C185" s="101"/>
      <c r="D185" s="101"/>
      <c r="E185" s="101"/>
      <c r="F185" s="102"/>
      <c r="G185" s="102"/>
      <c r="H185" s="102"/>
      <c r="I185" s="102"/>
      <c r="J185" s="102">
        <f>SUM(J186)</f>
        <v>600000</v>
      </c>
      <c r="K185" s="102"/>
      <c r="L185" s="45"/>
    </row>
    <row r="186" spans="1:12" s="28" customFormat="1" ht="12.75">
      <c r="A186" s="26"/>
      <c r="B186" s="164" t="s">
        <v>23</v>
      </c>
      <c r="C186" s="26"/>
      <c r="D186" s="26">
        <v>6060</v>
      </c>
      <c r="E186" s="26"/>
      <c r="F186" s="27"/>
      <c r="G186" s="27"/>
      <c r="H186" s="27"/>
      <c r="I186" s="27"/>
      <c r="J186" s="27">
        <f>SUM(J190)</f>
        <v>600000</v>
      </c>
      <c r="K186" s="27"/>
      <c r="L186" s="27"/>
    </row>
    <row r="187" spans="1:12" s="28" customFormat="1" ht="12.75">
      <c r="A187" s="29" t="s">
        <v>233</v>
      </c>
      <c r="B187" s="165" t="s">
        <v>359</v>
      </c>
      <c r="C187" s="54"/>
      <c r="D187" s="54"/>
      <c r="E187" s="29">
        <v>2010</v>
      </c>
      <c r="F187" s="55"/>
      <c r="G187" s="55"/>
      <c r="H187" s="55"/>
      <c r="I187" s="55"/>
      <c r="J187" s="55"/>
      <c r="K187" s="55"/>
      <c r="L187" s="55"/>
    </row>
    <row r="188" spans="1:12" ht="12.75">
      <c r="A188" s="29"/>
      <c r="B188" s="159" t="s">
        <v>287</v>
      </c>
      <c r="C188" s="51"/>
      <c r="D188" s="51"/>
      <c r="E188" s="29"/>
      <c r="F188" s="126"/>
      <c r="G188" s="126"/>
      <c r="H188" s="126"/>
      <c r="I188" s="126"/>
      <c r="J188" s="126"/>
      <c r="K188" s="126"/>
      <c r="L188" s="31"/>
    </row>
    <row r="189" spans="1:12" ht="12.75">
      <c r="A189" s="51"/>
      <c r="B189" s="125" t="s">
        <v>288</v>
      </c>
      <c r="C189" s="51"/>
      <c r="D189" s="51"/>
      <c r="E189" s="51"/>
      <c r="F189" s="126"/>
      <c r="G189" s="126"/>
      <c r="H189" s="126"/>
      <c r="I189" s="126"/>
      <c r="J189" s="126"/>
      <c r="K189" s="126"/>
      <c r="L189" s="31"/>
    </row>
    <row r="190" spans="1:12" ht="12.75">
      <c r="A190" s="50"/>
      <c r="B190" s="127" t="s">
        <v>289</v>
      </c>
      <c r="C190" s="50"/>
      <c r="D190" s="50"/>
      <c r="E190" s="50"/>
      <c r="F190" s="104"/>
      <c r="G190" s="104"/>
      <c r="H190" s="104"/>
      <c r="I190" s="104"/>
      <c r="J190" s="35">
        <v>600000</v>
      </c>
      <c r="K190" s="35"/>
      <c r="L190" s="35"/>
    </row>
    <row r="191" spans="1:12" s="5" customFormat="1" ht="13.5">
      <c r="A191" s="52" t="s">
        <v>59</v>
      </c>
      <c r="B191" s="188" t="s">
        <v>173</v>
      </c>
      <c r="C191" s="52">
        <v>75414</v>
      </c>
      <c r="D191" s="52"/>
      <c r="E191" s="52"/>
      <c r="F191" s="53"/>
      <c r="G191" s="53"/>
      <c r="H191" s="53"/>
      <c r="I191" s="53">
        <f>SUM(I192)</f>
        <v>5000</v>
      </c>
      <c r="J191" s="53">
        <f>SUM(J192)</f>
        <v>5000</v>
      </c>
      <c r="K191" s="53"/>
      <c r="L191" s="102"/>
    </row>
    <row r="192" spans="1:12" s="25" customFormat="1" ht="13.5">
      <c r="A192" s="54"/>
      <c r="B192" s="62" t="s">
        <v>23</v>
      </c>
      <c r="C192" s="54"/>
      <c r="D192" s="54">
        <v>6060</v>
      </c>
      <c r="E192" s="54"/>
      <c r="F192" s="55"/>
      <c r="G192" s="55"/>
      <c r="H192" s="55"/>
      <c r="I192" s="55">
        <f>SUM(I194)</f>
        <v>5000</v>
      </c>
      <c r="J192" s="55">
        <f>SUM(J194)</f>
        <v>5000</v>
      </c>
      <c r="K192" s="55"/>
      <c r="L192" s="53"/>
    </row>
    <row r="193" spans="1:12" s="28" customFormat="1" ht="12.75">
      <c r="A193" s="36" t="s">
        <v>234</v>
      </c>
      <c r="B193" s="171" t="s">
        <v>216</v>
      </c>
      <c r="C193" s="54"/>
      <c r="D193" s="54"/>
      <c r="E193" s="54"/>
      <c r="F193" s="55"/>
      <c r="G193" s="55"/>
      <c r="H193" s="55"/>
      <c r="I193" s="55"/>
      <c r="J193" s="55"/>
      <c r="K193" s="55"/>
      <c r="L193" s="55"/>
    </row>
    <row r="194" spans="1:12" s="28" customFormat="1" ht="13.5" thickBot="1">
      <c r="A194" s="89"/>
      <c r="B194" s="189" t="s">
        <v>217</v>
      </c>
      <c r="C194" s="89"/>
      <c r="D194" s="89"/>
      <c r="E194" s="89">
        <v>2010</v>
      </c>
      <c r="F194" s="90"/>
      <c r="G194" s="90"/>
      <c r="H194" s="90"/>
      <c r="I194" s="90">
        <v>5000</v>
      </c>
      <c r="J194" s="90">
        <v>5000</v>
      </c>
      <c r="K194" s="90"/>
      <c r="L194" s="119"/>
    </row>
    <row r="195" spans="1:12" s="28" customFormat="1" ht="13.5" thickBot="1">
      <c r="A195" s="20"/>
      <c r="B195" s="180" t="s">
        <v>31</v>
      </c>
      <c r="C195" s="20">
        <v>801</v>
      </c>
      <c r="D195" s="20"/>
      <c r="E195" s="20"/>
      <c r="F195" s="22">
        <f>SUM(F196,,,F216,F220,)</f>
        <v>4672814</v>
      </c>
      <c r="G195" s="22">
        <f>SUM(G196,,G216,G220,)</f>
        <v>7036804</v>
      </c>
      <c r="H195" s="22">
        <f>SUM(H196,,H216,H220,)</f>
        <v>12430800</v>
      </c>
      <c r="I195" s="22">
        <f>SUM(I196,,I216,I220,)</f>
        <v>14522280.51</v>
      </c>
      <c r="J195" s="22">
        <f>SUM(J196,J212,J216,J220,,J229)</f>
        <v>15610888.51</v>
      </c>
      <c r="K195" s="22">
        <f>SUM(K196,K212,K216,K220,,K229)</f>
        <v>11809172.23</v>
      </c>
      <c r="L195" s="22">
        <f>K195/J195*100</f>
        <v>75.6470217722412</v>
      </c>
    </row>
    <row r="196" spans="1:12" s="5" customFormat="1" ht="13.5">
      <c r="A196" s="23"/>
      <c r="B196" s="163" t="s">
        <v>32</v>
      </c>
      <c r="C196" s="23">
        <v>80101</v>
      </c>
      <c r="D196" s="23"/>
      <c r="E196" s="23"/>
      <c r="F196" s="24">
        <f aca="true" t="shared" si="1" ref="F196:K196">SUM(F197)</f>
        <v>53826</v>
      </c>
      <c r="G196" s="24">
        <f t="shared" si="1"/>
        <v>758827</v>
      </c>
      <c r="H196" s="24">
        <f t="shared" si="1"/>
        <v>8769800</v>
      </c>
      <c r="I196" s="24">
        <f t="shared" si="1"/>
        <v>9180000</v>
      </c>
      <c r="J196" s="24">
        <f t="shared" si="1"/>
        <v>10511600</v>
      </c>
      <c r="K196" s="24">
        <f t="shared" si="1"/>
        <v>9503637.93</v>
      </c>
      <c r="L196" s="24">
        <f>K196/J196*100</f>
        <v>90.41095484988013</v>
      </c>
    </row>
    <row r="197" spans="1:12" s="25" customFormat="1" ht="12.75" customHeight="1">
      <c r="A197" s="44"/>
      <c r="B197" s="164" t="s">
        <v>18</v>
      </c>
      <c r="C197" s="44"/>
      <c r="D197" s="26">
        <v>6050</v>
      </c>
      <c r="E197" s="65"/>
      <c r="F197" s="48">
        <f>SUM(F198:F200)</f>
        <v>53826</v>
      </c>
      <c r="G197" s="48">
        <f>SUM(G198:G200)</f>
        <v>758827</v>
      </c>
      <c r="H197" s="48">
        <f>SUM(H198:H200)</f>
        <v>8769800</v>
      </c>
      <c r="I197" s="48">
        <f>SUM(I198,I204)</f>
        <v>9180000</v>
      </c>
      <c r="J197" s="48">
        <f>SUM(J198,J204,J208)</f>
        <v>10511600</v>
      </c>
      <c r="K197" s="48">
        <f>SUM(K198,K204,K208)</f>
        <v>9503637.93</v>
      </c>
      <c r="L197" s="27">
        <f>K197/J197*100</f>
        <v>90.41095484988013</v>
      </c>
    </row>
    <row r="198" spans="1:12" s="25" customFormat="1" ht="12.75" customHeight="1">
      <c r="A198" s="36" t="s">
        <v>235</v>
      </c>
      <c r="B198" s="72" t="s">
        <v>161</v>
      </c>
      <c r="C198" s="36"/>
      <c r="D198" s="54"/>
      <c r="E198" s="36">
        <v>2007</v>
      </c>
      <c r="F198" s="73">
        <v>53826</v>
      </c>
      <c r="G198" s="37">
        <v>758827</v>
      </c>
      <c r="H198" s="37">
        <f>6700000+137000+1979800-47000</f>
        <v>8769800</v>
      </c>
      <c r="I198" s="37">
        <f>8800000+380000-157600</f>
        <v>9022400</v>
      </c>
      <c r="J198" s="37">
        <f>8800000+380000-157600+431600</f>
        <v>9454000</v>
      </c>
      <c r="K198" s="37">
        <v>8772083.72</v>
      </c>
      <c r="L198" s="37">
        <f>K198/J198*100</f>
        <v>92.78700782737467</v>
      </c>
    </row>
    <row r="199" spans="1:12" s="25" customFormat="1" ht="12" customHeight="1">
      <c r="A199" s="29"/>
      <c r="B199" s="74" t="s">
        <v>215</v>
      </c>
      <c r="C199" s="29"/>
      <c r="D199" s="56"/>
      <c r="E199" s="29"/>
      <c r="F199" s="31"/>
      <c r="G199" s="31"/>
      <c r="H199" s="31"/>
      <c r="I199" s="31"/>
      <c r="J199" s="31"/>
      <c r="K199" s="31"/>
      <c r="L199" s="92"/>
    </row>
    <row r="200" spans="1:12" s="25" customFormat="1" ht="13.5">
      <c r="A200" s="34"/>
      <c r="B200" s="158" t="s">
        <v>209</v>
      </c>
      <c r="C200" s="34"/>
      <c r="D200" s="47"/>
      <c r="E200" s="34"/>
      <c r="F200" s="35"/>
      <c r="G200" s="35"/>
      <c r="H200" s="35"/>
      <c r="I200" s="35"/>
      <c r="J200" s="35"/>
      <c r="K200" s="35"/>
      <c r="L200" s="66"/>
    </row>
    <row r="201" spans="1:12" s="25" customFormat="1" ht="13.5">
      <c r="A201" s="6"/>
      <c r="B201" s="205"/>
      <c r="C201" s="6"/>
      <c r="D201" s="156"/>
      <c r="E201" s="6"/>
      <c r="F201" s="9"/>
      <c r="G201" s="9"/>
      <c r="H201" s="9"/>
      <c r="I201" s="9"/>
      <c r="J201" s="9"/>
      <c r="K201" s="9"/>
      <c r="L201" s="206"/>
    </row>
    <row r="202" spans="1:12" ht="13.5" thickBot="1">
      <c r="A202" s="216" t="s">
        <v>353</v>
      </c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</row>
    <row r="203" spans="1:12" s="5" customFormat="1" ht="13.5" thickBot="1">
      <c r="A203" s="17" t="s">
        <v>8</v>
      </c>
      <c r="B203" s="17" t="s">
        <v>9</v>
      </c>
      <c r="C203" s="17" t="s">
        <v>10</v>
      </c>
      <c r="D203" s="17" t="s">
        <v>11</v>
      </c>
      <c r="E203" s="17" t="s">
        <v>12</v>
      </c>
      <c r="F203" s="18" t="s">
        <v>13</v>
      </c>
      <c r="G203" s="19" t="s">
        <v>14</v>
      </c>
      <c r="H203" s="19" t="s">
        <v>15</v>
      </c>
      <c r="I203" s="19" t="s">
        <v>129</v>
      </c>
      <c r="J203" s="19" t="s">
        <v>256</v>
      </c>
      <c r="K203" s="19" t="s">
        <v>257</v>
      </c>
      <c r="L203" s="19" t="s">
        <v>255</v>
      </c>
    </row>
    <row r="204" spans="1:12" s="25" customFormat="1" ht="12.75" customHeight="1">
      <c r="A204" s="44"/>
      <c r="B204" s="115" t="s">
        <v>221</v>
      </c>
      <c r="C204" s="44"/>
      <c r="D204" s="26"/>
      <c r="E204" s="44"/>
      <c r="F204" s="45"/>
      <c r="G204" s="45"/>
      <c r="H204" s="45"/>
      <c r="I204" s="27">
        <f>SUM(I205)</f>
        <v>157600</v>
      </c>
      <c r="J204" s="27">
        <f>SUM(J205)</f>
        <v>157600</v>
      </c>
      <c r="K204" s="27"/>
      <c r="L204" s="53"/>
    </row>
    <row r="205" spans="1:12" s="25" customFormat="1" ht="12" customHeight="1">
      <c r="A205" s="29"/>
      <c r="B205" s="113" t="s">
        <v>161</v>
      </c>
      <c r="C205" s="29"/>
      <c r="D205" s="56"/>
      <c r="E205" s="36">
        <v>2007</v>
      </c>
      <c r="F205" s="31"/>
      <c r="G205" s="31"/>
      <c r="H205" s="31"/>
      <c r="I205" s="31">
        <v>157600</v>
      </c>
      <c r="J205" s="31">
        <v>157600</v>
      </c>
      <c r="K205" s="31"/>
      <c r="L205" s="94"/>
    </row>
    <row r="206" spans="1:12" s="25" customFormat="1" ht="12" customHeight="1">
      <c r="A206" s="29"/>
      <c r="B206" s="113" t="s">
        <v>215</v>
      </c>
      <c r="C206" s="29"/>
      <c r="D206" s="56"/>
      <c r="E206" s="29"/>
      <c r="F206" s="31"/>
      <c r="G206" s="31"/>
      <c r="H206" s="31"/>
      <c r="I206" s="31"/>
      <c r="J206" s="31"/>
      <c r="K206" s="31"/>
      <c r="L206" s="92"/>
    </row>
    <row r="207" spans="1:12" s="25" customFormat="1" ht="12" customHeight="1">
      <c r="A207" s="34"/>
      <c r="B207" s="114" t="s">
        <v>209</v>
      </c>
      <c r="C207" s="34"/>
      <c r="D207" s="47"/>
      <c r="E207" s="34"/>
      <c r="F207" s="35"/>
      <c r="G207" s="35"/>
      <c r="H207" s="35"/>
      <c r="I207" s="35"/>
      <c r="J207" s="35"/>
      <c r="K207" s="35"/>
      <c r="L207" s="66"/>
    </row>
    <row r="208" spans="1:12" s="25" customFormat="1" ht="12.75" customHeight="1">
      <c r="A208" s="29" t="s">
        <v>236</v>
      </c>
      <c r="B208" s="74" t="s">
        <v>161</v>
      </c>
      <c r="C208" s="29"/>
      <c r="D208" s="56"/>
      <c r="E208" s="36">
        <v>2007</v>
      </c>
      <c r="F208" s="31"/>
      <c r="G208" s="31"/>
      <c r="H208" s="31"/>
      <c r="I208" s="31"/>
      <c r="J208" s="31">
        <v>900000</v>
      </c>
      <c r="K208" s="31">
        <f>131554.21+600000</f>
        <v>731554.21</v>
      </c>
      <c r="L208" s="37">
        <f>K208/J208*100</f>
        <v>81.2838011111111</v>
      </c>
    </row>
    <row r="209" spans="1:12" s="25" customFormat="1" ht="12.75" customHeight="1">
      <c r="A209" s="29"/>
      <c r="B209" s="74" t="s">
        <v>268</v>
      </c>
      <c r="C209" s="29"/>
      <c r="D209" s="56"/>
      <c r="E209" s="29"/>
      <c r="F209" s="31"/>
      <c r="G209" s="31"/>
      <c r="H209" s="31"/>
      <c r="I209" s="31"/>
      <c r="J209" s="31"/>
      <c r="K209" s="31"/>
      <c r="L209" s="92"/>
    </row>
    <row r="210" spans="1:12" s="25" customFormat="1" ht="12.75" customHeight="1">
      <c r="A210" s="29"/>
      <c r="B210" s="74" t="s">
        <v>266</v>
      </c>
      <c r="C210" s="29"/>
      <c r="D210" s="56"/>
      <c r="E210" s="29"/>
      <c r="F210" s="31"/>
      <c r="G210" s="31"/>
      <c r="H210" s="31"/>
      <c r="I210" s="31"/>
      <c r="J210" s="31"/>
      <c r="K210" s="31"/>
      <c r="L210" s="92"/>
    </row>
    <row r="211" spans="1:12" s="25" customFormat="1" ht="12.75" customHeight="1">
      <c r="A211" s="29"/>
      <c r="B211" s="74" t="s">
        <v>267</v>
      </c>
      <c r="C211" s="29"/>
      <c r="D211" s="56"/>
      <c r="E211" s="29"/>
      <c r="F211" s="31"/>
      <c r="G211" s="31"/>
      <c r="H211" s="31"/>
      <c r="I211" s="31"/>
      <c r="J211" s="31"/>
      <c r="K211" s="31"/>
      <c r="L211" s="92"/>
    </row>
    <row r="212" spans="1:12" s="25" customFormat="1" ht="12.75" customHeight="1">
      <c r="A212" s="44"/>
      <c r="B212" s="174" t="s">
        <v>308</v>
      </c>
      <c r="C212" s="52">
        <v>80104</v>
      </c>
      <c r="D212" s="52"/>
      <c r="E212" s="52"/>
      <c r="F212" s="45"/>
      <c r="G212" s="45"/>
      <c r="H212" s="45"/>
      <c r="I212" s="45"/>
      <c r="J212" s="53">
        <f aca="true" t="shared" si="2" ref="J212:K214">SUM(J213)</f>
        <v>12500</v>
      </c>
      <c r="K212" s="53">
        <f t="shared" si="2"/>
        <v>12328.1</v>
      </c>
      <c r="L212" s="53">
        <f aca="true" t="shared" si="3" ref="L212:L217">K212/J212*100</f>
        <v>98.62480000000001</v>
      </c>
    </row>
    <row r="213" spans="1:12" s="25" customFormat="1" ht="12.75" customHeight="1">
      <c r="A213" s="44"/>
      <c r="B213" s="181" t="s">
        <v>23</v>
      </c>
      <c r="C213" s="44"/>
      <c r="D213" s="26">
        <v>6060</v>
      </c>
      <c r="E213" s="52"/>
      <c r="F213" s="45"/>
      <c r="G213" s="45"/>
      <c r="H213" s="45"/>
      <c r="I213" s="45"/>
      <c r="J213" s="27">
        <f t="shared" si="2"/>
        <v>12500</v>
      </c>
      <c r="K213" s="27">
        <f t="shared" si="2"/>
        <v>12328.1</v>
      </c>
      <c r="L213" s="27">
        <f t="shared" si="3"/>
        <v>98.62480000000001</v>
      </c>
    </row>
    <row r="214" spans="1:12" s="25" customFormat="1" ht="12.75" customHeight="1">
      <c r="A214" s="36" t="s">
        <v>239</v>
      </c>
      <c r="B214" s="165" t="s">
        <v>309</v>
      </c>
      <c r="C214" s="49"/>
      <c r="D214" s="49"/>
      <c r="E214" s="36">
        <v>2010</v>
      </c>
      <c r="F214" s="37"/>
      <c r="G214" s="37"/>
      <c r="H214" s="37"/>
      <c r="I214" s="37"/>
      <c r="J214" s="37">
        <f t="shared" si="2"/>
        <v>12500</v>
      </c>
      <c r="K214" s="37">
        <f t="shared" si="2"/>
        <v>12328.1</v>
      </c>
      <c r="L214" s="37">
        <f t="shared" si="3"/>
        <v>98.62480000000001</v>
      </c>
    </row>
    <row r="215" spans="1:12" s="25" customFormat="1" ht="12.75" customHeight="1">
      <c r="A215" s="34"/>
      <c r="B215" s="190" t="s">
        <v>310</v>
      </c>
      <c r="C215" s="50"/>
      <c r="D215" s="50"/>
      <c r="E215" s="50"/>
      <c r="F215" s="35"/>
      <c r="G215" s="35"/>
      <c r="H215" s="35"/>
      <c r="I215" s="35"/>
      <c r="J215" s="35">
        <v>12500</v>
      </c>
      <c r="K215" s="35">
        <v>12328.1</v>
      </c>
      <c r="L215" s="35">
        <f t="shared" si="3"/>
        <v>98.62480000000001</v>
      </c>
    </row>
    <row r="216" spans="1:12" s="25" customFormat="1" ht="13.5">
      <c r="A216" s="52"/>
      <c r="B216" s="174" t="s">
        <v>33</v>
      </c>
      <c r="C216" s="52">
        <v>80120</v>
      </c>
      <c r="D216" s="52"/>
      <c r="E216" s="52"/>
      <c r="F216" s="53">
        <f aca="true" t="shared" si="4" ref="F216:K216">SUM(F217)</f>
        <v>4618988</v>
      </c>
      <c r="G216" s="53">
        <f t="shared" si="4"/>
        <v>6277977</v>
      </c>
      <c r="H216" s="53">
        <f t="shared" si="4"/>
        <v>3611000</v>
      </c>
      <c r="I216" s="53">
        <f t="shared" si="4"/>
        <v>4580000</v>
      </c>
      <c r="J216" s="53">
        <f t="shared" si="4"/>
        <v>4580000</v>
      </c>
      <c r="K216" s="53">
        <f t="shared" si="4"/>
        <v>2255906.2</v>
      </c>
      <c r="L216" s="53">
        <f t="shared" si="3"/>
        <v>49.25559388646288</v>
      </c>
    </row>
    <row r="217" spans="1:12" s="25" customFormat="1" ht="13.5">
      <c r="A217" s="36"/>
      <c r="B217" s="62" t="s">
        <v>18</v>
      </c>
      <c r="C217" s="36"/>
      <c r="D217" s="54">
        <v>6050</v>
      </c>
      <c r="E217" s="36"/>
      <c r="F217" s="55">
        <f aca="true" t="shared" si="5" ref="F217:K217">SUM(F219)</f>
        <v>4618988</v>
      </c>
      <c r="G217" s="55">
        <f t="shared" si="5"/>
        <v>6277977</v>
      </c>
      <c r="H217" s="55">
        <f t="shared" si="5"/>
        <v>3611000</v>
      </c>
      <c r="I217" s="55">
        <f t="shared" si="5"/>
        <v>4580000</v>
      </c>
      <c r="J217" s="55">
        <f t="shared" si="5"/>
        <v>4580000</v>
      </c>
      <c r="K217" s="55">
        <f t="shared" si="5"/>
        <v>2255906.2</v>
      </c>
      <c r="L217" s="27">
        <f t="shared" si="3"/>
        <v>49.25559388646288</v>
      </c>
    </row>
    <row r="218" spans="1:12" ht="12.75">
      <c r="A218" s="36" t="s">
        <v>240</v>
      </c>
      <c r="B218" s="165" t="s">
        <v>132</v>
      </c>
      <c r="C218" s="36"/>
      <c r="D218" s="54"/>
      <c r="E218" s="36"/>
      <c r="F218" s="55"/>
      <c r="G218" s="55"/>
      <c r="H218" s="55"/>
      <c r="I218" s="55"/>
      <c r="J218" s="55"/>
      <c r="K218" s="55"/>
      <c r="L218" s="37"/>
    </row>
    <row r="219" spans="1:12" ht="12.75">
      <c r="A219" s="34"/>
      <c r="B219" s="176" t="s">
        <v>89</v>
      </c>
      <c r="C219" s="34"/>
      <c r="D219" s="34"/>
      <c r="E219" s="34">
        <v>2005</v>
      </c>
      <c r="F219" s="35">
        <f>3728977+890011</f>
        <v>4618988</v>
      </c>
      <c r="G219" s="35">
        <v>6277977</v>
      </c>
      <c r="H219" s="35">
        <f>3200000+422000-443000-94000+559000-33000</f>
        <v>3611000</v>
      </c>
      <c r="I219" s="35">
        <f>4141000+439000</f>
        <v>4580000</v>
      </c>
      <c r="J219" s="35">
        <f>4141000+439000</f>
        <v>4580000</v>
      </c>
      <c r="K219" s="35">
        <v>2255906.2</v>
      </c>
      <c r="L219" s="35">
        <f>K219/J219*100</f>
        <v>49.25559388646288</v>
      </c>
    </row>
    <row r="220" spans="1:12" ht="13.5">
      <c r="A220" s="52"/>
      <c r="B220" s="191" t="s">
        <v>108</v>
      </c>
      <c r="C220" s="52">
        <v>80130</v>
      </c>
      <c r="D220" s="52"/>
      <c r="E220" s="52"/>
      <c r="F220" s="53"/>
      <c r="G220" s="53"/>
      <c r="H220" s="53">
        <f>SUM(H221,H224)</f>
        <v>50000</v>
      </c>
      <c r="I220" s="53">
        <f>SUM(I221,I224,I226)</f>
        <v>762280.51</v>
      </c>
      <c r="J220" s="53">
        <f>SUM(J221,J224,J226)</f>
        <v>481788.51</v>
      </c>
      <c r="K220" s="53">
        <f>SUM(K221,K224,K226)</f>
        <v>37300</v>
      </c>
      <c r="L220" s="53">
        <f>K220/J220*100</f>
        <v>7.741986208845039</v>
      </c>
    </row>
    <row r="221" spans="1:12" s="25" customFormat="1" ht="13.5">
      <c r="A221" s="26"/>
      <c r="B221" s="164" t="s">
        <v>18</v>
      </c>
      <c r="C221" s="26"/>
      <c r="D221" s="26">
        <v>6050</v>
      </c>
      <c r="E221" s="26"/>
      <c r="F221" s="27"/>
      <c r="G221" s="27"/>
      <c r="H221" s="27">
        <f>SUM(H223,)</f>
        <v>50000</v>
      </c>
      <c r="I221" s="27">
        <f>SUM(I223,)</f>
        <v>50000</v>
      </c>
      <c r="J221" s="27">
        <f>SUM(J223,)</f>
        <v>50000</v>
      </c>
      <c r="K221" s="27">
        <f>SUM(K223,)</f>
        <v>12300</v>
      </c>
      <c r="L221" s="27">
        <f>K221/J221*100</f>
        <v>24.6</v>
      </c>
    </row>
    <row r="222" spans="1:12" s="28" customFormat="1" ht="12.75">
      <c r="A222" s="36" t="s">
        <v>241</v>
      </c>
      <c r="B222" s="30" t="s">
        <v>198</v>
      </c>
      <c r="C222" s="36"/>
      <c r="D222" s="36"/>
      <c r="E222" s="36">
        <v>2009</v>
      </c>
      <c r="F222" s="37"/>
      <c r="G222" s="37"/>
      <c r="H222" s="37"/>
      <c r="I222" s="37"/>
      <c r="J222" s="37"/>
      <c r="K222" s="37"/>
      <c r="L222" s="55"/>
    </row>
    <row r="223" spans="1:12" ht="12.75">
      <c r="A223" s="29"/>
      <c r="B223" s="75" t="s">
        <v>197</v>
      </c>
      <c r="C223" s="29"/>
      <c r="D223" s="29"/>
      <c r="E223" s="29"/>
      <c r="F223" s="31"/>
      <c r="G223" s="31"/>
      <c r="H223" s="31">
        <f>200000-150000</f>
        <v>50000</v>
      </c>
      <c r="I223" s="31">
        <v>50000</v>
      </c>
      <c r="J223" s="31">
        <v>50000</v>
      </c>
      <c r="K223" s="31">
        <v>12300</v>
      </c>
      <c r="L223" s="35">
        <f>K223/J223*100</f>
        <v>24.6</v>
      </c>
    </row>
    <row r="224" spans="1:12" ht="12.75">
      <c r="A224" s="26"/>
      <c r="B224" s="164" t="s">
        <v>18</v>
      </c>
      <c r="C224" s="26"/>
      <c r="D224" s="26">
        <v>6059</v>
      </c>
      <c r="E224" s="76"/>
      <c r="F224" s="45"/>
      <c r="G224" s="45"/>
      <c r="H224" s="45"/>
      <c r="I224" s="27">
        <f>SUM(I225)</f>
        <v>687280.51</v>
      </c>
      <c r="J224" s="27">
        <f>SUM(J225)</f>
        <v>406788.51</v>
      </c>
      <c r="K224" s="27"/>
      <c r="L224" s="45"/>
    </row>
    <row r="225" spans="1:12" ht="12.75">
      <c r="A225" s="77" t="s">
        <v>242</v>
      </c>
      <c r="B225" s="78" t="s">
        <v>141</v>
      </c>
      <c r="C225" s="79"/>
      <c r="D225" s="80"/>
      <c r="E225" s="80">
        <v>2010</v>
      </c>
      <c r="F225" s="81"/>
      <c r="G225" s="82"/>
      <c r="H225" s="83"/>
      <c r="I225" s="83">
        <f>691846-4565.49</f>
        <v>687280.51</v>
      </c>
      <c r="J225" s="83">
        <f>691846-4565.49-280492</f>
        <v>406788.51</v>
      </c>
      <c r="K225" s="83"/>
      <c r="L225" s="45"/>
    </row>
    <row r="226" spans="1:12" s="5" customFormat="1" ht="13.5">
      <c r="A226" s="84"/>
      <c r="B226" s="164" t="s">
        <v>23</v>
      </c>
      <c r="C226" s="29"/>
      <c r="D226" s="56">
        <v>6060</v>
      </c>
      <c r="E226" s="85"/>
      <c r="F226" s="86"/>
      <c r="G226" s="87"/>
      <c r="H226" s="87"/>
      <c r="I226" s="88">
        <f aca="true" t="shared" si="6" ref="I226:K227">SUM(I227)</f>
        <v>25000</v>
      </c>
      <c r="J226" s="88">
        <f t="shared" si="6"/>
        <v>25000</v>
      </c>
      <c r="K226" s="88">
        <f t="shared" si="6"/>
        <v>25000</v>
      </c>
      <c r="L226" s="27">
        <f>K226/J226*100</f>
        <v>100</v>
      </c>
    </row>
    <row r="227" spans="1:12" s="25" customFormat="1" ht="12.75" customHeight="1">
      <c r="A227" s="36" t="s">
        <v>243</v>
      </c>
      <c r="B227" s="171" t="s">
        <v>174</v>
      </c>
      <c r="C227" s="36"/>
      <c r="D227" s="36"/>
      <c r="E227" s="36">
        <v>2010</v>
      </c>
      <c r="F227" s="37"/>
      <c r="G227" s="37"/>
      <c r="H227" s="37"/>
      <c r="I227" s="37">
        <f t="shared" si="6"/>
        <v>25000</v>
      </c>
      <c r="J227" s="37">
        <f t="shared" si="6"/>
        <v>25000</v>
      </c>
      <c r="K227" s="37">
        <f t="shared" si="6"/>
        <v>25000</v>
      </c>
      <c r="L227" s="37">
        <f>K227/J227*100</f>
        <v>100</v>
      </c>
    </row>
    <row r="228" spans="1:12" ht="12.75">
      <c r="A228" s="29"/>
      <c r="B228" s="192" t="s">
        <v>222</v>
      </c>
      <c r="C228" s="29"/>
      <c r="D228" s="29"/>
      <c r="E228" s="29"/>
      <c r="F228" s="31"/>
      <c r="G228" s="31"/>
      <c r="H228" s="31"/>
      <c r="I228" s="31">
        <v>25000</v>
      </c>
      <c r="J228" s="31">
        <v>25000</v>
      </c>
      <c r="K228" s="31">
        <v>25000</v>
      </c>
      <c r="L228" s="35">
        <f>K228/J228*100</f>
        <v>100</v>
      </c>
    </row>
    <row r="229" spans="1:12" s="25" customFormat="1" ht="13.5">
      <c r="A229" s="52"/>
      <c r="B229" s="193" t="s">
        <v>311</v>
      </c>
      <c r="C229" s="52">
        <v>80132</v>
      </c>
      <c r="D229" s="52"/>
      <c r="E229" s="52"/>
      <c r="F229" s="53"/>
      <c r="G229" s="53"/>
      <c r="H229" s="53"/>
      <c r="I229" s="53"/>
      <c r="J229" s="53">
        <f>SUM(J230)</f>
        <v>25000</v>
      </c>
      <c r="K229" s="53"/>
      <c r="L229" s="53"/>
    </row>
    <row r="230" spans="1:12" ht="12.75">
      <c r="A230" s="34"/>
      <c r="B230" s="181" t="s">
        <v>23</v>
      </c>
      <c r="C230" s="34"/>
      <c r="D230" s="47">
        <v>6060</v>
      </c>
      <c r="E230" s="34"/>
      <c r="F230" s="35"/>
      <c r="G230" s="35"/>
      <c r="H230" s="35"/>
      <c r="I230" s="35"/>
      <c r="J230" s="48">
        <f>SUM(J231)</f>
        <v>25000</v>
      </c>
      <c r="K230" s="48"/>
      <c r="L230" s="35"/>
    </row>
    <row r="231" spans="1:12" ht="12" customHeight="1">
      <c r="A231" s="36" t="s">
        <v>245</v>
      </c>
      <c r="B231" s="30" t="s">
        <v>312</v>
      </c>
      <c r="C231" s="36"/>
      <c r="D231" s="36"/>
      <c r="E231" s="36"/>
      <c r="F231" s="37"/>
      <c r="G231" s="37"/>
      <c r="H231" s="37"/>
      <c r="I231" s="37"/>
      <c r="J231" s="37">
        <f>SUM(J232)</f>
        <v>25000</v>
      </c>
      <c r="K231" s="37"/>
      <c r="L231" s="37"/>
    </row>
    <row r="232" spans="1:12" ht="12.75" customHeight="1" thickBot="1">
      <c r="A232" s="34"/>
      <c r="B232" s="190" t="s">
        <v>313</v>
      </c>
      <c r="C232" s="34"/>
      <c r="D232" s="34"/>
      <c r="E232" s="34"/>
      <c r="F232" s="35"/>
      <c r="G232" s="35"/>
      <c r="H232" s="35"/>
      <c r="I232" s="35"/>
      <c r="J232" s="35">
        <v>25000</v>
      </c>
      <c r="K232" s="35"/>
      <c r="L232" s="35"/>
    </row>
    <row r="233" spans="1:12" ht="12.75" customHeight="1" thickBot="1">
      <c r="A233" s="20"/>
      <c r="B233" s="180" t="s">
        <v>34</v>
      </c>
      <c r="C233" s="20">
        <v>851</v>
      </c>
      <c r="D233" s="20"/>
      <c r="E233" s="20"/>
      <c r="F233" s="22"/>
      <c r="G233" s="22"/>
      <c r="H233" s="22"/>
      <c r="I233" s="22">
        <f>SUM(,I234,)</f>
        <v>800000</v>
      </c>
      <c r="J233" s="22">
        <f>SUM(,J234,)</f>
        <v>951108.87</v>
      </c>
      <c r="K233" s="22"/>
      <c r="L233" s="118"/>
    </row>
    <row r="234" spans="1:12" s="5" customFormat="1" ht="12" customHeight="1">
      <c r="A234" s="23"/>
      <c r="B234" s="163" t="s">
        <v>35</v>
      </c>
      <c r="C234" s="23">
        <v>85154</v>
      </c>
      <c r="D234" s="23"/>
      <c r="E234" s="23"/>
      <c r="F234" s="24"/>
      <c r="G234" s="24"/>
      <c r="H234" s="24"/>
      <c r="I234" s="24">
        <f>SUM(I235)</f>
        <v>800000</v>
      </c>
      <c r="J234" s="24">
        <f>SUM(J235)</f>
        <v>951108.87</v>
      </c>
      <c r="K234" s="24"/>
      <c r="L234" s="100"/>
    </row>
    <row r="235" spans="1:12" s="25" customFormat="1" ht="12" customHeight="1">
      <c r="A235" s="34"/>
      <c r="B235" s="194" t="s">
        <v>18</v>
      </c>
      <c r="C235" s="34"/>
      <c r="D235" s="47">
        <v>6050</v>
      </c>
      <c r="E235" s="34"/>
      <c r="F235" s="48"/>
      <c r="G235" s="48"/>
      <c r="H235" s="48"/>
      <c r="I235" s="48">
        <f>SUM(I239:I242)</f>
        <v>800000</v>
      </c>
      <c r="J235" s="48">
        <f>SUM(J239:J242)</f>
        <v>951108.87</v>
      </c>
      <c r="K235" s="48"/>
      <c r="L235" s="53"/>
    </row>
    <row r="236" spans="1:12" ht="12.75">
      <c r="A236" s="29" t="s">
        <v>269</v>
      </c>
      <c r="B236" s="170" t="s">
        <v>109</v>
      </c>
      <c r="C236" s="29"/>
      <c r="D236" s="56"/>
      <c r="E236" s="29">
        <v>2010</v>
      </c>
      <c r="F236" s="57"/>
      <c r="G236" s="57"/>
      <c r="H236" s="57"/>
      <c r="I236" s="57"/>
      <c r="J236" s="57"/>
      <c r="K236" s="57"/>
      <c r="L236" s="37"/>
    </row>
    <row r="237" spans="1:12" ht="12.75">
      <c r="A237" s="29"/>
      <c r="B237" s="170" t="s">
        <v>175</v>
      </c>
      <c r="C237" s="29"/>
      <c r="D237" s="56"/>
      <c r="E237" s="29"/>
      <c r="F237" s="57"/>
      <c r="G237" s="57"/>
      <c r="H237" s="57"/>
      <c r="I237" s="57"/>
      <c r="J237" s="57"/>
      <c r="K237" s="57"/>
      <c r="L237" s="31"/>
    </row>
    <row r="238" spans="1:12" ht="12.75">
      <c r="A238" s="29"/>
      <c r="B238" s="170" t="s">
        <v>176</v>
      </c>
      <c r="C238" s="29"/>
      <c r="D238" s="56"/>
      <c r="E238" s="29"/>
      <c r="F238" s="57"/>
      <c r="G238" s="57"/>
      <c r="H238" s="57"/>
      <c r="I238" s="57"/>
      <c r="J238" s="57"/>
      <c r="K238" s="57"/>
      <c r="L238" s="31"/>
    </row>
    <row r="239" spans="1:12" ht="12.75">
      <c r="A239" s="29"/>
      <c r="B239" s="170" t="s">
        <v>177</v>
      </c>
      <c r="C239" s="29"/>
      <c r="D239" s="29"/>
      <c r="E239" s="29"/>
      <c r="F239" s="31"/>
      <c r="G239" s="31"/>
      <c r="H239" s="31"/>
      <c r="I239" s="31">
        <v>400000</v>
      </c>
      <c r="J239" s="31"/>
      <c r="K239" s="31"/>
      <c r="L239" s="35"/>
    </row>
    <row r="240" spans="1:12" ht="12.75">
      <c r="A240" s="36" t="s">
        <v>270</v>
      </c>
      <c r="B240" s="171" t="s">
        <v>178</v>
      </c>
      <c r="C240" s="36"/>
      <c r="D240" s="36"/>
      <c r="E240" s="36">
        <v>2010</v>
      </c>
      <c r="F240" s="37"/>
      <c r="G240" s="37"/>
      <c r="H240" s="37"/>
      <c r="I240" s="37"/>
      <c r="J240" s="37"/>
      <c r="K240" s="37"/>
      <c r="L240" s="37"/>
    </row>
    <row r="241" spans="1:12" ht="12.75">
      <c r="A241" s="29"/>
      <c r="B241" s="170" t="s">
        <v>179</v>
      </c>
      <c r="C241" s="29"/>
      <c r="D241" s="29"/>
      <c r="E241" s="29"/>
      <c r="F241" s="31"/>
      <c r="G241" s="31"/>
      <c r="H241" s="31"/>
      <c r="I241" s="31"/>
      <c r="J241" s="31"/>
      <c r="K241" s="31"/>
      <c r="L241" s="31"/>
    </row>
    <row r="242" spans="1:12" ht="13.5" thickBot="1">
      <c r="A242" s="29"/>
      <c r="B242" s="170" t="s">
        <v>180</v>
      </c>
      <c r="C242" s="29"/>
      <c r="D242" s="29"/>
      <c r="E242" s="29"/>
      <c r="F242" s="31"/>
      <c r="G242" s="31"/>
      <c r="H242" s="31"/>
      <c r="I242" s="31">
        <v>400000</v>
      </c>
      <c r="J242" s="31">
        <f>400000+551108.87</f>
        <v>951108.87</v>
      </c>
      <c r="K242" s="31"/>
      <c r="L242" s="31"/>
    </row>
    <row r="243" spans="1:12" ht="13.5" thickBot="1">
      <c r="A243" s="20"/>
      <c r="B243" s="180" t="s">
        <v>36</v>
      </c>
      <c r="C243" s="20">
        <v>852</v>
      </c>
      <c r="D243" s="20"/>
      <c r="E243" s="20"/>
      <c r="F243" s="22"/>
      <c r="G243" s="22"/>
      <c r="H243" s="22">
        <f>SUM(H244,H257,H263,H270)</f>
        <v>45000</v>
      </c>
      <c r="I243" s="22">
        <f>SUM(I244,I257,I263,I270)</f>
        <v>154500</v>
      </c>
      <c r="J243" s="22">
        <f>SUM(J244,J257,J263,J270)</f>
        <v>189500</v>
      </c>
      <c r="K243" s="22">
        <f>SUM(K244,K257,K263,K270)</f>
        <v>58575.39</v>
      </c>
      <c r="L243" s="22">
        <f>K243/J243*100</f>
        <v>30.910496042216355</v>
      </c>
    </row>
    <row r="244" spans="1:12" s="5" customFormat="1" ht="13.5">
      <c r="A244" s="68"/>
      <c r="B244" s="195" t="s">
        <v>37</v>
      </c>
      <c r="C244" s="68">
        <v>85201</v>
      </c>
      <c r="D244" s="68"/>
      <c r="E244" s="68"/>
      <c r="F244" s="69"/>
      <c r="G244" s="69"/>
      <c r="H244" s="69">
        <f>SUM(H245,H254)</f>
        <v>40000</v>
      </c>
      <c r="I244" s="69">
        <f>SUM(I245,I254)</f>
        <v>50000</v>
      </c>
      <c r="J244" s="69">
        <f>SUM(J245,J254)</f>
        <v>70000</v>
      </c>
      <c r="K244" s="69">
        <f>SUM(K245,K254)</f>
        <v>43675.43</v>
      </c>
      <c r="L244" s="53">
        <f>K244/J244*100</f>
        <v>62.39347142857143</v>
      </c>
    </row>
    <row r="245" spans="1:12" ht="13.5">
      <c r="A245" s="52"/>
      <c r="B245" s="164" t="s">
        <v>18</v>
      </c>
      <c r="C245" s="44"/>
      <c r="D245" s="26">
        <v>6050</v>
      </c>
      <c r="E245" s="52"/>
      <c r="F245" s="27"/>
      <c r="G245" s="27"/>
      <c r="H245" s="27">
        <f>SUM(H247)</f>
        <v>40000</v>
      </c>
      <c r="I245" s="27">
        <f>SUM(I247)</f>
        <v>20000</v>
      </c>
      <c r="J245" s="27">
        <f>SUM(J247,J248)</f>
        <v>40000</v>
      </c>
      <c r="K245" s="27">
        <f>SUM(K247,K248)</f>
        <v>14000</v>
      </c>
      <c r="L245" s="53">
        <f>K245/J245*100</f>
        <v>35</v>
      </c>
    </row>
    <row r="246" spans="1:12" ht="13.5">
      <c r="A246" s="29" t="s">
        <v>273</v>
      </c>
      <c r="B246" s="179" t="s">
        <v>193</v>
      </c>
      <c r="C246" s="91"/>
      <c r="D246" s="91"/>
      <c r="E246" s="29">
        <v>2009</v>
      </c>
      <c r="F246" s="92"/>
      <c r="G246" s="92"/>
      <c r="H246" s="31"/>
      <c r="I246" s="31"/>
      <c r="J246" s="31"/>
      <c r="K246" s="31"/>
      <c r="L246" s="37"/>
    </row>
    <row r="247" spans="1:12" ht="13.5">
      <c r="A247" s="29"/>
      <c r="B247" s="178" t="s">
        <v>181</v>
      </c>
      <c r="C247" s="91"/>
      <c r="D247" s="91"/>
      <c r="E247" s="29"/>
      <c r="F247" s="92"/>
      <c r="G247" s="92"/>
      <c r="H247" s="31">
        <f>20000+20000</f>
        <v>40000</v>
      </c>
      <c r="I247" s="31">
        <v>20000</v>
      </c>
      <c r="J247" s="31">
        <v>20000</v>
      </c>
      <c r="K247" s="31">
        <v>14000</v>
      </c>
      <c r="L247" s="35">
        <f>K247/J247*100</f>
        <v>70</v>
      </c>
    </row>
    <row r="248" spans="1:12" ht="13.5">
      <c r="A248" s="52"/>
      <c r="B248" s="191" t="s">
        <v>340</v>
      </c>
      <c r="C248" s="52"/>
      <c r="D248" s="52"/>
      <c r="E248" s="52"/>
      <c r="F248" s="53"/>
      <c r="G248" s="53"/>
      <c r="H248" s="53"/>
      <c r="I248" s="53"/>
      <c r="J248" s="53">
        <f>SUM(J250)</f>
        <v>20000</v>
      </c>
      <c r="K248" s="53"/>
      <c r="L248" s="53"/>
    </row>
    <row r="249" spans="1:12" ht="13.5">
      <c r="A249" s="29" t="s">
        <v>274</v>
      </c>
      <c r="B249" s="178" t="s">
        <v>341</v>
      </c>
      <c r="C249" s="91"/>
      <c r="D249" s="91"/>
      <c r="E249" s="29"/>
      <c r="F249" s="92"/>
      <c r="G249" s="92"/>
      <c r="H249" s="31"/>
      <c r="I249" s="31"/>
      <c r="J249" s="31"/>
      <c r="K249" s="31"/>
      <c r="L249" s="31"/>
    </row>
    <row r="250" spans="1:12" ht="13.5">
      <c r="A250" s="34"/>
      <c r="B250" s="166" t="s">
        <v>181</v>
      </c>
      <c r="C250" s="65"/>
      <c r="D250" s="65"/>
      <c r="E250" s="34"/>
      <c r="F250" s="66"/>
      <c r="G250" s="66"/>
      <c r="H250" s="35"/>
      <c r="I250" s="35"/>
      <c r="J250" s="35">
        <v>20000</v>
      </c>
      <c r="K250" s="35"/>
      <c r="L250" s="35"/>
    </row>
    <row r="251" spans="1:12" ht="13.5">
      <c r="A251" s="6"/>
      <c r="B251" s="162"/>
      <c r="C251" s="207"/>
      <c r="D251" s="207"/>
      <c r="E251" s="6"/>
      <c r="F251" s="206"/>
      <c r="G251" s="206"/>
      <c r="H251" s="9"/>
      <c r="I251" s="9"/>
      <c r="J251" s="9"/>
      <c r="K251" s="9"/>
      <c r="L251" s="9"/>
    </row>
    <row r="252" spans="1:12" ht="13.5" thickBot="1">
      <c r="A252" s="216" t="s">
        <v>354</v>
      </c>
      <c r="B252" s="216"/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</row>
    <row r="253" spans="1:12" s="5" customFormat="1" ht="13.5" thickBot="1">
      <c r="A253" s="17" t="s">
        <v>8</v>
      </c>
      <c r="B253" s="17" t="s">
        <v>9</v>
      </c>
      <c r="C253" s="17" t="s">
        <v>10</v>
      </c>
      <c r="D253" s="17" t="s">
        <v>11</v>
      </c>
      <c r="E253" s="17" t="s">
        <v>12</v>
      </c>
      <c r="F253" s="18" t="s">
        <v>13</v>
      </c>
      <c r="G253" s="19" t="s">
        <v>14</v>
      </c>
      <c r="H253" s="19" t="s">
        <v>15</v>
      </c>
      <c r="I253" s="19" t="s">
        <v>129</v>
      </c>
      <c r="J253" s="19" t="s">
        <v>256</v>
      </c>
      <c r="K253" s="19" t="s">
        <v>257</v>
      </c>
      <c r="L253" s="19" t="s">
        <v>255</v>
      </c>
    </row>
    <row r="254" spans="1:12" ht="12.75">
      <c r="A254" s="26"/>
      <c r="B254" s="164" t="s">
        <v>23</v>
      </c>
      <c r="C254" s="26"/>
      <c r="D254" s="26">
        <v>6060</v>
      </c>
      <c r="E254" s="26"/>
      <c r="F254" s="27"/>
      <c r="G254" s="27"/>
      <c r="H254" s="27"/>
      <c r="I254" s="27">
        <f>SUM(,I255)</f>
        <v>30000</v>
      </c>
      <c r="J254" s="27">
        <f>SUM(,J255)</f>
        <v>30000</v>
      </c>
      <c r="K254" s="27">
        <f>SUM(,K255)</f>
        <v>29675.43</v>
      </c>
      <c r="L254" s="27">
        <f aca="true" t="shared" si="7" ref="L254:L260">K254/J254*100</f>
        <v>98.9181</v>
      </c>
    </row>
    <row r="255" spans="1:12" s="28" customFormat="1" ht="12" customHeight="1">
      <c r="A255" s="29" t="s">
        <v>275</v>
      </c>
      <c r="B255" s="170" t="s">
        <v>182</v>
      </c>
      <c r="C255" s="29"/>
      <c r="D255" s="29"/>
      <c r="E255" s="29">
        <v>2010</v>
      </c>
      <c r="F255" s="31"/>
      <c r="G255" s="31"/>
      <c r="H255" s="31"/>
      <c r="I255" s="31">
        <f>SUM(I256)</f>
        <v>30000</v>
      </c>
      <c r="J255" s="31">
        <f>SUM(J256)</f>
        <v>30000</v>
      </c>
      <c r="K255" s="31">
        <f>SUM(K256)</f>
        <v>29675.43</v>
      </c>
      <c r="L255" s="37">
        <f t="shared" si="7"/>
        <v>98.9181</v>
      </c>
    </row>
    <row r="256" spans="1:12" ht="12" customHeight="1">
      <c r="A256" s="29"/>
      <c r="B256" s="176" t="s">
        <v>183</v>
      </c>
      <c r="C256" s="29"/>
      <c r="D256" s="29"/>
      <c r="E256" s="29"/>
      <c r="F256" s="31"/>
      <c r="G256" s="31"/>
      <c r="H256" s="31"/>
      <c r="I256" s="31">
        <v>30000</v>
      </c>
      <c r="J256" s="31">
        <v>30000</v>
      </c>
      <c r="K256" s="31">
        <v>29675.43</v>
      </c>
      <c r="L256" s="35">
        <f t="shared" si="7"/>
        <v>98.9181</v>
      </c>
    </row>
    <row r="257" spans="1:12" ht="12.75" customHeight="1">
      <c r="A257" s="93"/>
      <c r="B257" s="196" t="s">
        <v>38</v>
      </c>
      <c r="C257" s="93">
        <v>85202</v>
      </c>
      <c r="D257" s="93"/>
      <c r="E257" s="93"/>
      <c r="F257" s="94"/>
      <c r="G257" s="94"/>
      <c r="H257" s="94"/>
      <c r="I257" s="94">
        <f>SUM(I258)</f>
        <v>15000</v>
      </c>
      <c r="J257" s="94">
        <f>SUM(J258)</f>
        <v>33500</v>
      </c>
      <c r="K257" s="94">
        <f>SUM(K258)</f>
        <v>8900</v>
      </c>
      <c r="L257" s="53">
        <f t="shared" si="7"/>
        <v>26.56716417910448</v>
      </c>
    </row>
    <row r="258" spans="1:12" s="25" customFormat="1" ht="12.75" customHeight="1">
      <c r="A258" s="26"/>
      <c r="B258" s="164" t="s">
        <v>23</v>
      </c>
      <c r="C258" s="26"/>
      <c r="D258" s="26">
        <v>6060</v>
      </c>
      <c r="E258" s="26"/>
      <c r="F258" s="27"/>
      <c r="G258" s="27"/>
      <c r="H258" s="27"/>
      <c r="I258" s="27">
        <f>SUM(,I259)</f>
        <v>15000</v>
      </c>
      <c r="J258" s="27">
        <f>SUM(J259,J261)</f>
        <v>33500</v>
      </c>
      <c r="K258" s="27">
        <f>SUM(K259,K261)</f>
        <v>8900</v>
      </c>
      <c r="L258" s="27">
        <f t="shared" si="7"/>
        <v>26.56716417910448</v>
      </c>
    </row>
    <row r="259" spans="1:12" s="28" customFormat="1" ht="12.75">
      <c r="A259" s="36" t="s">
        <v>276</v>
      </c>
      <c r="B259" s="165" t="s">
        <v>127</v>
      </c>
      <c r="C259" s="36"/>
      <c r="D259" s="36"/>
      <c r="E259" s="36">
        <v>2010</v>
      </c>
      <c r="F259" s="37"/>
      <c r="G259" s="37"/>
      <c r="H259" s="37"/>
      <c r="I259" s="37">
        <f>SUM(I260:I260)</f>
        <v>15000</v>
      </c>
      <c r="J259" s="37">
        <f>SUM(J260:J260)</f>
        <v>13500</v>
      </c>
      <c r="K259" s="37">
        <f>SUM(K260:K260)</f>
        <v>8900</v>
      </c>
      <c r="L259" s="37">
        <f t="shared" si="7"/>
        <v>65.92592592592592</v>
      </c>
    </row>
    <row r="260" spans="1:12" ht="12.75">
      <c r="A260" s="29"/>
      <c r="B260" s="179" t="s">
        <v>184</v>
      </c>
      <c r="C260" s="29"/>
      <c r="D260" s="29"/>
      <c r="E260" s="29"/>
      <c r="F260" s="31"/>
      <c r="G260" s="31"/>
      <c r="H260" s="31"/>
      <c r="I260" s="31">
        <v>15000</v>
      </c>
      <c r="J260" s="31">
        <f>15000-1500</f>
        <v>13500</v>
      </c>
      <c r="K260" s="31">
        <v>8900</v>
      </c>
      <c r="L260" s="35">
        <f t="shared" si="7"/>
        <v>65.92592592592592</v>
      </c>
    </row>
    <row r="261" spans="1:12" ht="12.75">
      <c r="A261" s="36" t="s">
        <v>277</v>
      </c>
      <c r="B261" s="30" t="s">
        <v>314</v>
      </c>
      <c r="C261" s="36"/>
      <c r="D261" s="36"/>
      <c r="E261" s="36">
        <v>2010</v>
      </c>
      <c r="F261" s="37"/>
      <c r="G261" s="37"/>
      <c r="H261" s="37"/>
      <c r="I261" s="37"/>
      <c r="J261" s="37">
        <f>SUM(J262)</f>
        <v>20000</v>
      </c>
      <c r="K261" s="37"/>
      <c r="L261" s="37"/>
    </row>
    <row r="262" spans="1:12" ht="12.75">
      <c r="A262" s="34"/>
      <c r="B262" s="190" t="s">
        <v>315</v>
      </c>
      <c r="C262" s="34"/>
      <c r="D262" s="34"/>
      <c r="E262" s="34"/>
      <c r="F262" s="35"/>
      <c r="G262" s="35"/>
      <c r="H262" s="35"/>
      <c r="I262" s="35"/>
      <c r="J262" s="35">
        <v>20000</v>
      </c>
      <c r="K262" s="35"/>
      <c r="L262" s="35"/>
    </row>
    <row r="263" spans="1:12" ht="13.5">
      <c r="A263" s="52"/>
      <c r="B263" s="174" t="s">
        <v>40</v>
      </c>
      <c r="C263" s="52">
        <v>85203</v>
      </c>
      <c r="D263" s="52"/>
      <c r="E263" s="52"/>
      <c r="F263" s="53"/>
      <c r="G263" s="53"/>
      <c r="H263" s="53"/>
      <c r="I263" s="53">
        <f>SUM(I264,I267)</f>
        <v>84500</v>
      </c>
      <c r="J263" s="53">
        <f>SUM(J264,J267)</f>
        <v>86000</v>
      </c>
      <c r="K263" s="53">
        <f>SUM(K264,K267)</f>
        <v>5999.96</v>
      </c>
      <c r="L263" s="53">
        <f>K263/J263*100</f>
        <v>6.976697674418604</v>
      </c>
    </row>
    <row r="264" spans="1:12" s="25" customFormat="1" ht="13.5">
      <c r="A264" s="93"/>
      <c r="B264" s="181" t="s">
        <v>18</v>
      </c>
      <c r="C264" s="29"/>
      <c r="D264" s="56">
        <v>6050</v>
      </c>
      <c r="E264" s="93"/>
      <c r="F264" s="94"/>
      <c r="G264" s="55"/>
      <c r="H264" s="55"/>
      <c r="I264" s="55">
        <f>SUM(I265)</f>
        <v>80000</v>
      </c>
      <c r="J264" s="55">
        <f>SUM(J265)</f>
        <v>80000</v>
      </c>
      <c r="K264" s="55"/>
      <c r="L264" s="66"/>
    </row>
    <row r="265" spans="1:12" s="25" customFormat="1" ht="13.5">
      <c r="A265" s="36" t="s">
        <v>278</v>
      </c>
      <c r="B265" s="165" t="s">
        <v>214</v>
      </c>
      <c r="C265" s="93"/>
      <c r="D265" s="93"/>
      <c r="E265" s="36">
        <v>2010</v>
      </c>
      <c r="F265" s="94"/>
      <c r="G265" s="37"/>
      <c r="H265" s="37"/>
      <c r="I265" s="37">
        <v>80000</v>
      </c>
      <c r="J265" s="37">
        <v>80000</v>
      </c>
      <c r="K265" s="37"/>
      <c r="L265" s="94"/>
    </row>
    <row r="266" spans="1:12" s="25" customFormat="1" ht="13.5">
      <c r="A266" s="34"/>
      <c r="B266" s="166" t="s">
        <v>210</v>
      </c>
      <c r="C266" s="65"/>
      <c r="D266" s="65"/>
      <c r="E266" s="34"/>
      <c r="F266" s="66"/>
      <c r="G266" s="35"/>
      <c r="H266" s="35"/>
      <c r="I266" s="35"/>
      <c r="J266" s="35"/>
      <c r="K266" s="35"/>
      <c r="L266" s="92"/>
    </row>
    <row r="267" spans="1:12" s="25" customFormat="1" ht="13.5">
      <c r="A267" s="54"/>
      <c r="B267" s="62" t="s">
        <v>23</v>
      </c>
      <c r="C267" s="54"/>
      <c r="D267" s="54">
        <v>6060</v>
      </c>
      <c r="E267" s="54"/>
      <c r="F267" s="55"/>
      <c r="G267" s="55"/>
      <c r="H267" s="55"/>
      <c r="I267" s="55">
        <f>SUM(,I268)</f>
        <v>4500</v>
      </c>
      <c r="J267" s="55">
        <f>SUM(,J268)</f>
        <v>6000</v>
      </c>
      <c r="K267" s="55">
        <f>SUM(,K268)</f>
        <v>5999.96</v>
      </c>
      <c r="L267" s="27">
        <f>K267/J267*100</f>
        <v>99.99933333333333</v>
      </c>
    </row>
    <row r="268" spans="1:12" s="28" customFormat="1" ht="12.75">
      <c r="A268" s="36" t="s">
        <v>279</v>
      </c>
      <c r="B268" s="165" t="s">
        <v>185</v>
      </c>
      <c r="C268" s="36"/>
      <c r="D268" s="36"/>
      <c r="E268" s="36">
        <v>2010</v>
      </c>
      <c r="F268" s="37"/>
      <c r="G268" s="37"/>
      <c r="H268" s="37"/>
      <c r="I268" s="37">
        <f>SUM(I269:I269)</f>
        <v>4500</v>
      </c>
      <c r="J268" s="37">
        <f>SUM(J269:J269)</f>
        <v>6000</v>
      </c>
      <c r="K268" s="37">
        <f>SUM(K269:K269)</f>
        <v>5999.96</v>
      </c>
      <c r="L268" s="37">
        <f>K268/J268*100</f>
        <v>99.99933333333333</v>
      </c>
    </row>
    <row r="269" spans="1:12" ht="12.75">
      <c r="A269" s="29"/>
      <c r="B269" s="179" t="s">
        <v>192</v>
      </c>
      <c r="C269" s="29"/>
      <c r="D269" s="29"/>
      <c r="E269" s="29"/>
      <c r="F269" s="31"/>
      <c r="G269" s="31"/>
      <c r="H269" s="31"/>
      <c r="I269" s="31">
        <v>4500</v>
      </c>
      <c r="J269" s="31">
        <f>4500+1500</f>
        <v>6000</v>
      </c>
      <c r="K269" s="31">
        <v>5999.96</v>
      </c>
      <c r="L269" s="35">
        <f>K269/J269*100</f>
        <v>99.99933333333333</v>
      </c>
    </row>
    <row r="270" spans="1:12" ht="13.5">
      <c r="A270" s="52"/>
      <c r="B270" s="191" t="s">
        <v>194</v>
      </c>
      <c r="C270" s="52">
        <v>85218</v>
      </c>
      <c r="D270" s="52"/>
      <c r="E270" s="52"/>
      <c r="F270" s="53"/>
      <c r="G270" s="53"/>
      <c r="H270" s="53">
        <f>SUM(H271,H273)</f>
        <v>5000</v>
      </c>
      <c r="I270" s="53">
        <f>SUM(I271,I273)</f>
        <v>5000</v>
      </c>
      <c r="J270" s="53"/>
      <c r="K270" s="53"/>
      <c r="L270" s="35"/>
    </row>
    <row r="271" spans="1:12" s="25" customFormat="1" ht="13.5">
      <c r="A271" s="44"/>
      <c r="B271" s="164" t="s">
        <v>23</v>
      </c>
      <c r="C271" s="26"/>
      <c r="D271" s="26">
        <v>6068</v>
      </c>
      <c r="E271" s="44"/>
      <c r="F271" s="45"/>
      <c r="G271" s="45"/>
      <c r="H271" s="27">
        <f>SUM(H272)</f>
        <v>4250</v>
      </c>
      <c r="I271" s="27">
        <f>SUM(I272)</f>
        <v>4250</v>
      </c>
      <c r="J271" s="27"/>
      <c r="K271" s="27"/>
      <c r="L271" s="53"/>
    </row>
    <row r="272" spans="1:12" ht="12.75">
      <c r="A272" s="29" t="s">
        <v>280</v>
      </c>
      <c r="B272" s="178" t="s">
        <v>195</v>
      </c>
      <c r="C272" s="29"/>
      <c r="D272" s="29"/>
      <c r="E272" s="29">
        <v>2009</v>
      </c>
      <c r="F272" s="31"/>
      <c r="G272" s="31"/>
      <c r="H272" s="31">
        <v>4250</v>
      </c>
      <c r="I272" s="31">
        <v>4250</v>
      </c>
      <c r="J272" s="31"/>
      <c r="K272" s="31"/>
      <c r="L272" s="45"/>
    </row>
    <row r="273" spans="1:12" ht="12.75">
      <c r="A273" s="44"/>
      <c r="B273" s="164" t="s">
        <v>23</v>
      </c>
      <c r="C273" s="26"/>
      <c r="D273" s="26">
        <v>6069</v>
      </c>
      <c r="E273" s="44"/>
      <c r="F273" s="45"/>
      <c r="G273" s="45"/>
      <c r="H273" s="27">
        <f>SUM(H274)</f>
        <v>750</v>
      </c>
      <c r="I273" s="27">
        <f>SUM(I274)</f>
        <v>750</v>
      </c>
      <c r="J273" s="27"/>
      <c r="K273" s="27"/>
      <c r="L273" s="45"/>
    </row>
    <row r="274" spans="1:12" ht="13.5" thickBot="1">
      <c r="A274" s="70" t="s">
        <v>281</v>
      </c>
      <c r="B274" s="197" t="s">
        <v>195</v>
      </c>
      <c r="C274" s="70"/>
      <c r="D274" s="70"/>
      <c r="E274" s="70">
        <v>2009</v>
      </c>
      <c r="F274" s="71"/>
      <c r="G274" s="71"/>
      <c r="H274" s="71">
        <v>750</v>
      </c>
      <c r="I274" s="71">
        <v>750</v>
      </c>
      <c r="J274" s="71"/>
      <c r="K274" s="71"/>
      <c r="L274" s="71"/>
    </row>
    <row r="275" spans="1:12" ht="13.5" thickBot="1">
      <c r="A275" s="20"/>
      <c r="B275" s="180" t="s">
        <v>45</v>
      </c>
      <c r="C275" s="20">
        <v>854</v>
      </c>
      <c r="D275" s="20"/>
      <c r="E275" s="20"/>
      <c r="F275" s="22"/>
      <c r="G275" s="22"/>
      <c r="H275" s="22">
        <f aca="true" t="shared" si="8" ref="H275:K276">SUM(H276)</f>
        <v>116000</v>
      </c>
      <c r="I275" s="22">
        <f t="shared" si="8"/>
        <v>11600</v>
      </c>
      <c r="J275" s="22">
        <f t="shared" si="8"/>
        <v>11600</v>
      </c>
      <c r="K275" s="22">
        <f t="shared" si="8"/>
        <v>4880</v>
      </c>
      <c r="L275" s="22">
        <f>K275/J275*100</f>
        <v>42.06896551724138</v>
      </c>
    </row>
    <row r="276" spans="1:12" s="5" customFormat="1" ht="13.5">
      <c r="A276" s="23"/>
      <c r="B276" s="95" t="s">
        <v>128</v>
      </c>
      <c r="C276" s="23">
        <v>85406</v>
      </c>
      <c r="D276" s="23"/>
      <c r="E276" s="23"/>
      <c r="F276" s="24"/>
      <c r="G276" s="24"/>
      <c r="H276" s="24">
        <f t="shared" si="8"/>
        <v>116000</v>
      </c>
      <c r="I276" s="24">
        <f t="shared" si="8"/>
        <v>11600</v>
      </c>
      <c r="J276" s="24">
        <f>SUM(J277,J282,J287)</f>
        <v>11600</v>
      </c>
      <c r="K276" s="24">
        <f>SUM(K277,K282,K287)</f>
        <v>4880</v>
      </c>
      <c r="L276" s="66">
        <f>K276/J276*100</f>
        <v>42.06896551724138</v>
      </c>
    </row>
    <row r="277" spans="1:12" s="25" customFormat="1" ht="13.5">
      <c r="A277" s="52"/>
      <c r="B277" s="164" t="s">
        <v>18</v>
      </c>
      <c r="C277" s="44"/>
      <c r="D277" s="26">
        <v>6050</v>
      </c>
      <c r="E277" s="52"/>
      <c r="F277" s="53"/>
      <c r="G277" s="53"/>
      <c r="H277" s="27">
        <f>SUM(H281)</f>
        <v>116000</v>
      </c>
      <c r="I277" s="27">
        <f>SUM(I281)</f>
        <v>11600</v>
      </c>
      <c r="J277" s="27">
        <f>SUM(J281)</f>
        <v>6720</v>
      </c>
      <c r="K277" s="27">
        <f>SUM(K281)</f>
        <v>4880</v>
      </c>
      <c r="L277" s="55">
        <f>K277/J277*100</f>
        <v>72.61904761904762</v>
      </c>
    </row>
    <row r="278" spans="1:12" s="5" customFormat="1" ht="13.5">
      <c r="A278" s="36" t="s">
        <v>282</v>
      </c>
      <c r="B278" s="165" t="s">
        <v>117</v>
      </c>
      <c r="C278" s="93"/>
      <c r="D278" s="93"/>
      <c r="E278" s="36">
        <v>2009</v>
      </c>
      <c r="F278" s="94"/>
      <c r="G278" s="94"/>
      <c r="H278" s="37"/>
      <c r="I278" s="37"/>
      <c r="J278" s="37"/>
      <c r="K278" s="37"/>
      <c r="L278" s="103"/>
    </row>
    <row r="279" spans="1:12" s="25" customFormat="1" ht="13.5">
      <c r="A279" s="91"/>
      <c r="B279" s="96" t="s">
        <v>158</v>
      </c>
      <c r="C279" s="91"/>
      <c r="D279" s="91"/>
      <c r="E279" s="91"/>
      <c r="F279" s="92"/>
      <c r="G279" s="92"/>
      <c r="H279" s="31"/>
      <c r="I279" s="31"/>
      <c r="J279" s="31"/>
      <c r="K279" s="31"/>
      <c r="L279" s="92"/>
    </row>
    <row r="280" spans="1:12" s="25" customFormat="1" ht="13.5">
      <c r="A280" s="91"/>
      <c r="B280" s="97" t="s">
        <v>156</v>
      </c>
      <c r="C280" s="91"/>
      <c r="D280" s="91"/>
      <c r="E280" s="91"/>
      <c r="F280" s="92"/>
      <c r="G280" s="92"/>
      <c r="H280" s="31"/>
      <c r="I280" s="31"/>
      <c r="J280" s="31"/>
      <c r="K280" s="31"/>
      <c r="L280" s="92"/>
    </row>
    <row r="281" spans="1:12" s="25" customFormat="1" ht="13.5">
      <c r="A281" s="91"/>
      <c r="B281" s="97" t="s">
        <v>157</v>
      </c>
      <c r="C281" s="91"/>
      <c r="D281" s="91"/>
      <c r="E281" s="91"/>
      <c r="F281" s="92"/>
      <c r="G281" s="92"/>
      <c r="H281" s="31">
        <f>300000-184000</f>
        <v>116000</v>
      </c>
      <c r="I281" s="31">
        <f>100000+1600-90000</f>
        <v>11600</v>
      </c>
      <c r="J281" s="31">
        <f>100000+1600-90000-4880</f>
        <v>6720</v>
      </c>
      <c r="K281" s="31">
        <v>4880</v>
      </c>
      <c r="L281" s="31">
        <f>K281/J281*100</f>
        <v>72.61904761904762</v>
      </c>
    </row>
    <row r="282" spans="1:12" s="25" customFormat="1" ht="13.5">
      <c r="A282" s="52"/>
      <c r="B282" s="164" t="s">
        <v>18</v>
      </c>
      <c r="C282" s="44"/>
      <c r="D282" s="26">
        <v>6057</v>
      </c>
      <c r="E282" s="52"/>
      <c r="F282" s="53"/>
      <c r="G282" s="53"/>
      <c r="H282" s="45"/>
      <c r="I282" s="45"/>
      <c r="J282" s="27">
        <f>SUM(J286)</f>
        <v>3416</v>
      </c>
      <c r="K282" s="27"/>
      <c r="L282" s="45"/>
    </row>
    <row r="283" spans="1:12" s="25" customFormat="1" ht="13.5">
      <c r="A283" s="36" t="s">
        <v>342</v>
      </c>
      <c r="B283" s="165" t="s">
        <v>117</v>
      </c>
      <c r="C283" s="93"/>
      <c r="D283" s="93"/>
      <c r="E283" s="36">
        <v>2009</v>
      </c>
      <c r="F283" s="94"/>
      <c r="G283" s="94"/>
      <c r="H283" s="37"/>
      <c r="I283" s="37"/>
      <c r="J283" s="37"/>
      <c r="K283" s="37"/>
      <c r="L283" s="37"/>
    </row>
    <row r="284" spans="1:12" s="25" customFormat="1" ht="13.5">
      <c r="A284" s="91"/>
      <c r="B284" s="96" t="s">
        <v>158</v>
      </c>
      <c r="C284" s="91"/>
      <c r="D284" s="91"/>
      <c r="E284" s="91"/>
      <c r="F284" s="92"/>
      <c r="G284" s="92"/>
      <c r="H284" s="31"/>
      <c r="I284" s="31"/>
      <c r="J284" s="31"/>
      <c r="K284" s="31"/>
      <c r="L284" s="31"/>
    </row>
    <row r="285" spans="1:12" s="25" customFormat="1" ht="13.5">
      <c r="A285" s="91"/>
      <c r="B285" s="97" t="s">
        <v>156</v>
      </c>
      <c r="C285" s="91"/>
      <c r="D285" s="91"/>
      <c r="E285" s="91"/>
      <c r="F285" s="92"/>
      <c r="G285" s="92"/>
      <c r="H285" s="31"/>
      <c r="I285" s="31"/>
      <c r="J285" s="31"/>
      <c r="K285" s="31"/>
      <c r="L285" s="31"/>
    </row>
    <row r="286" spans="1:12" s="25" customFormat="1" ht="13.5">
      <c r="A286" s="65"/>
      <c r="B286" s="98" t="s">
        <v>157</v>
      </c>
      <c r="C286" s="65"/>
      <c r="D286" s="65"/>
      <c r="E286" s="65"/>
      <c r="F286" s="66"/>
      <c r="G286" s="66"/>
      <c r="H286" s="35"/>
      <c r="I286" s="35"/>
      <c r="J286" s="35">
        <v>3416</v>
      </c>
      <c r="K286" s="35"/>
      <c r="L286" s="35"/>
    </row>
    <row r="287" spans="1:12" s="25" customFormat="1" ht="13.5">
      <c r="A287" s="52"/>
      <c r="B287" s="164" t="s">
        <v>18</v>
      </c>
      <c r="C287" s="44"/>
      <c r="D287" s="26">
        <v>6059</v>
      </c>
      <c r="E287" s="52"/>
      <c r="F287" s="53"/>
      <c r="G287" s="53"/>
      <c r="H287" s="45"/>
      <c r="I287" s="45"/>
      <c r="J287" s="27">
        <f>SUM(J291)</f>
        <v>1464</v>
      </c>
      <c r="K287" s="27"/>
      <c r="L287" s="45"/>
    </row>
    <row r="288" spans="1:12" s="25" customFormat="1" ht="13.5">
      <c r="A288" s="36" t="s">
        <v>291</v>
      </c>
      <c r="B288" s="165" t="s">
        <v>117</v>
      </c>
      <c r="C288" s="93"/>
      <c r="D288" s="93"/>
      <c r="E288" s="36">
        <v>2009</v>
      </c>
      <c r="F288" s="94"/>
      <c r="G288" s="94"/>
      <c r="H288" s="37"/>
      <c r="I288" s="37"/>
      <c r="J288" s="37"/>
      <c r="K288" s="37"/>
      <c r="L288" s="37"/>
    </row>
    <row r="289" spans="1:12" s="25" customFormat="1" ht="13.5">
      <c r="A289" s="91"/>
      <c r="B289" s="96" t="s">
        <v>158</v>
      </c>
      <c r="C289" s="91"/>
      <c r="D289" s="91"/>
      <c r="E289" s="91"/>
      <c r="F289" s="92"/>
      <c r="G289" s="92"/>
      <c r="H289" s="31"/>
      <c r="I289" s="31"/>
      <c r="J289" s="31"/>
      <c r="K289" s="31"/>
      <c r="L289" s="31"/>
    </row>
    <row r="290" spans="1:12" s="25" customFormat="1" ht="13.5">
      <c r="A290" s="91"/>
      <c r="B290" s="97" t="s">
        <v>156</v>
      </c>
      <c r="C290" s="91"/>
      <c r="D290" s="91"/>
      <c r="E290" s="91"/>
      <c r="F290" s="92"/>
      <c r="G290" s="92"/>
      <c r="H290" s="31"/>
      <c r="I290" s="31"/>
      <c r="J290" s="31"/>
      <c r="K290" s="31"/>
      <c r="L290" s="31"/>
    </row>
    <row r="291" spans="1:12" s="25" customFormat="1" ht="14.25" thickBot="1">
      <c r="A291" s="133"/>
      <c r="B291" s="135" t="s">
        <v>157</v>
      </c>
      <c r="C291" s="133"/>
      <c r="D291" s="133"/>
      <c r="E291" s="133"/>
      <c r="F291" s="134"/>
      <c r="G291" s="134"/>
      <c r="H291" s="90"/>
      <c r="I291" s="90"/>
      <c r="J291" s="90">
        <v>1464</v>
      </c>
      <c r="K291" s="90"/>
      <c r="L291" s="90"/>
    </row>
    <row r="292" spans="1:12" s="25" customFormat="1" ht="14.25" thickBot="1">
      <c r="A292" s="20"/>
      <c r="B292" s="180" t="s">
        <v>47</v>
      </c>
      <c r="C292" s="20">
        <v>900</v>
      </c>
      <c r="D292" s="20"/>
      <c r="E292" s="20"/>
      <c r="F292" s="22">
        <f>SUM(F303,F310)</f>
        <v>4455</v>
      </c>
      <c r="G292" s="22">
        <f>SUM(G303,G310)</f>
        <v>102838</v>
      </c>
      <c r="H292" s="22">
        <f>SUM(H293,H303,H310)</f>
        <v>2836300</v>
      </c>
      <c r="I292" s="22">
        <f>SUM(I293,I303,I310)</f>
        <v>7951600</v>
      </c>
      <c r="J292" s="22">
        <f>SUM(J293,J303,J310)</f>
        <v>8135002.55</v>
      </c>
      <c r="K292" s="22">
        <f>SUM(K293,K303,K310)</f>
        <v>389507</v>
      </c>
      <c r="L292" s="120">
        <f>K292/J292*100</f>
        <v>4.788037835341552</v>
      </c>
    </row>
    <row r="293" spans="1:12" s="5" customFormat="1" ht="13.5">
      <c r="A293" s="99"/>
      <c r="B293" s="163" t="s">
        <v>160</v>
      </c>
      <c r="C293" s="23">
        <v>90001</v>
      </c>
      <c r="D293" s="23"/>
      <c r="E293" s="99"/>
      <c r="F293" s="100"/>
      <c r="G293" s="100"/>
      <c r="H293" s="100"/>
      <c r="I293" s="100">
        <f>SUM(I294)</f>
        <v>50000</v>
      </c>
      <c r="J293" s="100">
        <f>SUM(J294)</f>
        <v>50000</v>
      </c>
      <c r="K293" s="100"/>
      <c r="L293" s="100"/>
    </row>
    <row r="294" spans="1:12" s="5" customFormat="1" ht="12.75">
      <c r="A294" s="101"/>
      <c r="B294" s="164" t="s">
        <v>18</v>
      </c>
      <c r="C294" s="26"/>
      <c r="D294" s="26">
        <v>6050</v>
      </c>
      <c r="E294" s="101"/>
      <c r="F294" s="102"/>
      <c r="G294" s="102"/>
      <c r="H294" s="27"/>
      <c r="I294" s="27">
        <f>SUM(I295,I297,)</f>
        <v>50000</v>
      </c>
      <c r="J294" s="27">
        <f>SUM(J295:J299)</f>
        <v>50000</v>
      </c>
      <c r="K294" s="27"/>
      <c r="L294" s="102"/>
    </row>
    <row r="295" spans="1:12" s="5" customFormat="1" ht="12.75">
      <c r="A295" s="44" t="s">
        <v>316</v>
      </c>
      <c r="B295" s="175" t="s">
        <v>186</v>
      </c>
      <c r="C295" s="44"/>
      <c r="D295" s="44"/>
      <c r="E295" s="44">
        <v>2010</v>
      </c>
      <c r="F295" s="102"/>
      <c r="G295" s="102"/>
      <c r="H295" s="45"/>
      <c r="I295" s="45">
        <v>30000</v>
      </c>
      <c r="J295" s="45">
        <v>30000</v>
      </c>
      <c r="K295" s="45"/>
      <c r="L295" s="102"/>
    </row>
    <row r="296" spans="1:12" s="5" customFormat="1" ht="12.75">
      <c r="A296" s="36" t="s">
        <v>317</v>
      </c>
      <c r="B296" s="171" t="s">
        <v>187</v>
      </c>
      <c r="C296" s="36"/>
      <c r="D296" s="36"/>
      <c r="E296" s="36">
        <v>2010</v>
      </c>
      <c r="F296" s="103"/>
      <c r="G296" s="103"/>
      <c r="H296" s="37"/>
      <c r="I296" s="37"/>
      <c r="J296" s="37"/>
      <c r="K296" s="37"/>
      <c r="L296" s="103"/>
    </row>
    <row r="297" spans="1:12" s="5" customFormat="1" ht="12.75">
      <c r="A297" s="34"/>
      <c r="B297" s="198" t="s">
        <v>188</v>
      </c>
      <c r="C297" s="34"/>
      <c r="D297" s="34"/>
      <c r="E297" s="34"/>
      <c r="F297" s="104"/>
      <c r="G297" s="104"/>
      <c r="H297" s="35"/>
      <c r="I297" s="35">
        <v>20000</v>
      </c>
      <c r="J297" s="35"/>
      <c r="K297" s="35"/>
      <c r="L297" s="104"/>
    </row>
    <row r="298" spans="1:12" s="5" customFormat="1" ht="12.75">
      <c r="A298" s="36" t="s">
        <v>318</v>
      </c>
      <c r="B298" s="30" t="s">
        <v>361</v>
      </c>
      <c r="C298" s="36"/>
      <c r="D298" s="36"/>
      <c r="E298" s="36">
        <v>2010</v>
      </c>
      <c r="F298" s="103"/>
      <c r="G298" s="103"/>
      <c r="H298" s="37"/>
      <c r="I298" s="37"/>
      <c r="J298" s="37"/>
      <c r="K298" s="37"/>
      <c r="L298" s="103"/>
    </row>
    <row r="299" spans="1:12" s="5" customFormat="1" ht="12.75">
      <c r="A299" s="34"/>
      <c r="B299" s="33" t="s">
        <v>362</v>
      </c>
      <c r="C299" s="34"/>
      <c r="D299" s="34"/>
      <c r="E299" s="34"/>
      <c r="F299" s="104"/>
      <c r="G299" s="104"/>
      <c r="H299" s="35"/>
      <c r="I299" s="35"/>
      <c r="J299" s="35">
        <v>20000</v>
      </c>
      <c r="K299" s="35"/>
      <c r="L299" s="104"/>
    </row>
    <row r="300" spans="1:12" s="5" customFormat="1" ht="12.75">
      <c r="A300" s="6"/>
      <c r="B300" s="208"/>
      <c r="C300" s="6"/>
      <c r="D300" s="6"/>
      <c r="E300" s="6"/>
      <c r="F300" s="209"/>
      <c r="G300" s="209"/>
      <c r="H300" s="9"/>
      <c r="I300" s="9"/>
      <c r="J300" s="9"/>
      <c r="K300" s="9"/>
      <c r="L300" s="209"/>
    </row>
    <row r="301" spans="1:12" ht="13.5" thickBot="1">
      <c r="A301" s="216" t="s">
        <v>355</v>
      </c>
      <c r="B301" s="216"/>
      <c r="C301" s="216"/>
      <c r="D301" s="216"/>
      <c r="E301" s="216"/>
      <c r="F301" s="216"/>
      <c r="G301" s="216"/>
      <c r="H301" s="216"/>
      <c r="I301" s="216"/>
      <c r="J301" s="216"/>
      <c r="K301" s="216"/>
      <c r="L301" s="216"/>
    </row>
    <row r="302" spans="1:12" s="5" customFormat="1" ht="13.5" thickBot="1">
      <c r="A302" s="17" t="s">
        <v>8</v>
      </c>
      <c r="B302" s="17" t="s">
        <v>9</v>
      </c>
      <c r="C302" s="17" t="s">
        <v>10</v>
      </c>
      <c r="D302" s="17" t="s">
        <v>11</v>
      </c>
      <c r="E302" s="17" t="s">
        <v>12</v>
      </c>
      <c r="F302" s="18" t="s">
        <v>13</v>
      </c>
      <c r="G302" s="19" t="s">
        <v>14</v>
      </c>
      <c r="H302" s="19" t="s">
        <v>15</v>
      </c>
      <c r="I302" s="19" t="s">
        <v>129</v>
      </c>
      <c r="J302" s="19" t="s">
        <v>256</v>
      </c>
      <c r="K302" s="19" t="s">
        <v>257</v>
      </c>
      <c r="L302" s="19" t="s">
        <v>255</v>
      </c>
    </row>
    <row r="303" spans="1:12" s="5" customFormat="1" ht="13.5">
      <c r="A303" s="52"/>
      <c r="B303" s="174" t="s">
        <v>49</v>
      </c>
      <c r="C303" s="52">
        <v>90015</v>
      </c>
      <c r="D303" s="52"/>
      <c r="E303" s="52"/>
      <c r="F303" s="53"/>
      <c r="G303" s="53"/>
      <c r="H303" s="53"/>
      <c r="I303" s="53">
        <f>SUM(I304)</f>
        <v>100000</v>
      </c>
      <c r="J303" s="53">
        <f>SUM(J304)</f>
        <v>348000</v>
      </c>
      <c r="K303" s="53"/>
      <c r="L303" s="102"/>
    </row>
    <row r="304" spans="1:12" ht="12.75">
      <c r="A304" s="26"/>
      <c r="B304" s="164" t="s">
        <v>18</v>
      </c>
      <c r="C304" s="26"/>
      <c r="D304" s="26">
        <v>6050</v>
      </c>
      <c r="E304" s="26"/>
      <c r="F304" s="27"/>
      <c r="G304" s="27"/>
      <c r="H304" s="27"/>
      <c r="I304" s="27">
        <f>SUM(I305)</f>
        <v>100000</v>
      </c>
      <c r="J304" s="27">
        <f>SUM(J307:J309)</f>
        <v>348000</v>
      </c>
      <c r="K304" s="27"/>
      <c r="L304" s="45"/>
    </row>
    <row r="305" spans="1:12" s="28" customFormat="1" ht="12.75">
      <c r="A305" s="44" t="s">
        <v>319</v>
      </c>
      <c r="B305" s="175" t="s">
        <v>189</v>
      </c>
      <c r="C305" s="44"/>
      <c r="D305" s="44"/>
      <c r="E305" s="44">
        <v>2010</v>
      </c>
      <c r="F305" s="45"/>
      <c r="G305" s="45"/>
      <c r="H305" s="45"/>
      <c r="I305" s="45">
        <v>100000</v>
      </c>
      <c r="J305" s="45"/>
      <c r="K305" s="45"/>
      <c r="L305" s="27"/>
    </row>
    <row r="306" spans="1:12" s="28" customFormat="1" ht="12.75">
      <c r="A306" s="36" t="s">
        <v>320</v>
      </c>
      <c r="B306" s="165" t="s">
        <v>271</v>
      </c>
      <c r="C306" s="36"/>
      <c r="D306" s="36"/>
      <c r="E306" s="36">
        <v>2010</v>
      </c>
      <c r="F306" s="37"/>
      <c r="G306" s="37"/>
      <c r="H306" s="37"/>
      <c r="I306" s="37"/>
      <c r="J306" s="37"/>
      <c r="K306" s="37"/>
      <c r="L306" s="57"/>
    </row>
    <row r="307" spans="1:12" s="28" customFormat="1" ht="12.75">
      <c r="A307" s="34"/>
      <c r="B307" s="166" t="s">
        <v>272</v>
      </c>
      <c r="C307" s="34"/>
      <c r="D307" s="34"/>
      <c r="E307" s="34"/>
      <c r="F307" s="35"/>
      <c r="G307" s="35"/>
      <c r="H307" s="35"/>
      <c r="I307" s="35"/>
      <c r="J307" s="35">
        <v>200000</v>
      </c>
      <c r="K307" s="35"/>
      <c r="L307" s="57"/>
    </row>
    <row r="308" spans="1:12" s="28" customFormat="1" ht="12.75">
      <c r="A308" s="34" t="s">
        <v>322</v>
      </c>
      <c r="B308" s="160" t="s">
        <v>263</v>
      </c>
      <c r="C308" s="34"/>
      <c r="D308" s="34"/>
      <c r="E308" s="34">
        <v>2010</v>
      </c>
      <c r="F308" s="35"/>
      <c r="G308" s="35"/>
      <c r="H308" s="35"/>
      <c r="I308" s="35"/>
      <c r="J308" s="35">
        <v>48000</v>
      </c>
      <c r="K308" s="35"/>
      <c r="L308" s="27"/>
    </row>
    <row r="309" spans="1:12" s="28" customFormat="1" ht="12.75">
      <c r="A309" s="34" t="s">
        <v>323</v>
      </c>
      <c r="B309" s="160" t="s">
        <v>321</v>
      </c>
      <c r="C309" s="34"/>
      <c r="D309" s="34"/>
      <c r="E309" s="34">
        <v>2010</v>
      </c>
      <c r="F309" s="35"/>
      <c r="G309" s="35"/>
      <c r="H309" s="35"/>
      <c r="I309" s="35"/>
      <c r="J309" s="35">
        <v>100000</v>
      </c>
      <c r="K309" s="35"/>
      <c r="L309" s="27"/>
    </row>
    <row r="310" spans="1:12" ht="13.5">
      <c r="A310" s="52"/>
      <c r="B310" s="174" t="s">
        <v>30</v>
      </c>
      <c r="C310" s="52">
        <v>90095</v>
      </c>
      <c r="D310" s="52"/>
      <c r="E310" s="52"/>
      <c r="F310" s="53">
        <f>SUM(F311)</f>
        <v>4455</v>
      </c>
      <c r="G310" s="53">
        <f>SUM(G311)</f>
        <v>102838</v>
      </c>
      <c r="H310" s="53">
        <f>SUM(H311)</f>
        <v>2836300</v>
      </c>
      <c r="I310" s="53">
        <f>SUM(I311)</f>
        <v>7801600</v>
      </c>
      <c r="J310" s="53">
        <f>SUM(J311,J319,J322)</f>
        <v>7737002.55</v>
      </c>
      <c r="K310" s="53">
        <f>SUM(K311,K319,K322)</f>
        <v>389507</v>
      </c>
      <c r="L310" s="53">
        <f>K310/J310*100</f>
        <v>5.034339816780855</v>
      </c>
    </row>
    <row r="311" spans="1:12" ht="12.75">
      <c r="A311" s="44"/>
      <c r="B311" s="164" t="s">
        <v>18</v>
      </c>
      <c r="C311" s="44"/>
      <c r="D311" s="26">
        <v>6050</v>
      </c>
      <c r="E311" s="44"/>
      <c r="F311" s="27">
        <f>SUM(F313,F315)</f>
        <v>4455</v>
      </c>
      <c r="G311" s="27">
        <f>SUM(G313,G315)</f>
        <v>102838</v>
      </c>
      <c r="H311" s="27">
        <f>SUM(H313,H315)</f>
        <v>2836300</v>
      </c>
      <c r="I311" s="27">
        <f>SUM(I313,I315,I317)</f>
        <v>7801600</v>
      </c>
      <c r="J311" s="27">
        <f>SUM(J313,J315,J317,J318)</f>
        <v>7491761.02</v>
      </c>
      <c r="K311" s="27">
        <f>SUM(K313,K315,K317,K318)</f>
        <v>273964.76</v>
      </c>
      <c r="L311" s="27">
        <f>K311/J311*100</f>
        <v>3.6568806622184544</v>
      </c>
    </row>
    <row r="312" spans="1:12" ht="12.75">
      <c r="A312" s="36" t="s">
        <v>324</v>
      </c>
      <c r="B312" s="105" t="s">
        <v>133</v>
      </c>
      <c r="C312" s="36"/>
      <c r="D312" s="36"/>
      <c r="E312" s="36"/>
      <c r="F312" s="37"/>
      <c r="G312" s="37"/>
      <c r="H312" s="37"/>
      <c r="I312" s="37"/>
      <c r="J312" s="37"/>
      <c r="K312" s="37"/>
      <c r="L312" s="37"/>
    </row>
    <row r="313" spans="1:12" ht="12.75">
      <c r="A313" s="34"/>
      <c r="B313" s="106" t="s">
        <v>134</v>
      </c>
      <c r="C313" s="34"/>
      <c r="D313" s="34"/>
      <c r="E313" s="34">
        <v>2004</v>
      </c>
      <c r="F313" s="35">
        <v>4455</v>
      </c>
      <c r="G313" s="35">
        <v>94838</v>
      </c>
      <c r="H313" s="35">
        <f>2800000+34000+26000-34000</f>
        <v>2826000</v>
      </c>
      <c r="I313" s="35">
        <f>7000000+255000+157600</f>
        <v>7412600</v>
      </c>
      <c r="J313" s="35">
        <f>7000000+255000+157600</f>
        <v>7412600</v>
      </c>
      <c r="K313" s="35">
        <v>273919.76</v>
      </c>
      <c r="L313" s="31">
        <f>K313/J313*100</f>
        <v>3.6953263362382973</v>
      </c>
    </row>
    <row r="314" spans="1:12" ht="12.75">
      <c r="A314" s="29" t="s">
        <v>325</v>
      </c>
      <c r="B314" s="107" t="s">
        <v>113</v>
      </c>
      <c r="C314" s="29"/>
      <c r="D314" s="29"/>
      <c r="E314" s="29"/>
      <c r="F314" s="31"/>
      <c r="G314" s="31"/>
      <c r="H314" s="31"/>
      <c r="I314" s="31"/>
      <c r="J314" s="31"/>
      <c r="K314" s="31"/>
      <c r="L314" s="37"/>
    </row>
    <row r="315" spans="1:12" ht="12.75">
      <c r="A315" s="29"/>
      <c r="B315" s="108" t="s">
        <v>114</v>
      </c>
      <c r="C315" s="29"/>
      <c r="D315" s="29"/>
      <c r="E315" s="29">
        <v>2008</v>
      </c>
      <c r="F315" s="31"/>
      <c r="G315" s="31">
        <v>8000</v>
      </c>
      <c r="H315" s="31">
        <f>180000+5000-174700</f>
        <v>10300</v>
      </c>
      <c r="I315" s="31">
        <f>284700+4300</f>
        <v>289000</v>
      </c>
      <c r="J315" s="31">
        <f>284700+4300-239838.98</f>
        <v>49161.01999999999</v>
      </c>
      <c r="K315" s="31">
        <v>45</v>
      </c>
      <c r="L315" s="31">
        <f>K315/J315*100</f>
        <v>0.09153593639839046</v>
      </c>
    </row>
    <row r="316" spans="1:12" ht="12.75">
      <c r="A316" s="36" t="s">
        <v>327</v>
      </c>
      <c r="B316" s="107" t="s">
        <v>237</v>
      </c>
      <c r="C316" s="36"/>
      <c r="D316" s="36"/>
      <c r="E316" s="36">
        <v>2010</v>
      </c>
      <c r="F316" s="37"/>
      <c r="G316" s="37"/>
      <c r="H316" s="37"/>
      <c r="I316" s="37"/>
      <c r="J316" s="37"/>
      <c r="K316" s="37"/>
      <c r="L316" s="37"/>
    </row>
    <row r="317" spans="1:12" ht="12.75">
      <c r="A317" s="29"/>
      <c r="B317" s="108" t="s">
        <v>238</v>
      </c>
      <c r="C317" s="29"/>
      <c r="D317" s="29"/>
      <c r="E317" s="29"/>
      <c r="F317" s="31"/>
      <c r="G317" s="31"/>
      <c r="H317" s="31"/>
      <c r="I317" s="31">
        <v>100000</v>
      </c>
      <c r="J317" s="31"/>
      <c r="K317" s="31"/>
      <c r="L317" s="31"/>
    </row>
    <row r="318" spans="1:12" ht="12.75">
      <c r="A318" s="44" t="s">
        <v>328</v>
      </c>
      <c r="B318" s="136" t="s">
        <v>326</v>
      </c>
      <c r="C318" s="44"/>
      <c r="D318" s="44"/>
      <c r="E318" s="44">
        <v>2010</v>
      </c>
      <c r="F318" s="45"/>
      <c r="G318" s="45"/>
      <c r="H318" s="45"/>
      <c r="I318" s="45"/>
      <c r="J318" s="45">
        <v>30000</v>
      </c>
      <c r="K318" s="45"/>
      <c r="L318" s="45"/>
    </row>
    <row r="319" spans="1:12" ht="12.75">
      <c r="A319" s="36"/>
      <c r="B319" s="164" t="s">
        <v>18</v>
      </c>
      <c r="C319" s="44"/>
      <c r="D319" s="26">
        <v>6057</v>
      </c>
      <c r="E319" s="36"/>
      <c r="F319" s="37"/>
      <c r="G319" s="37"/>
      <c r="H319" s="37"/>
      <c r="I319" s="37"/>
      <c r="J319" s="55">
        <f>SUM(J321)</f>
        <v>116072.82</v>
      </c>
      <c r="K319" s="55">
        <f>SUM(K321)</f>
        <v>54686.14</v>
      </c>
      <c r="L319" s="27">
        <f>K319/J319*100</f>
        <v>47.11364813915954</v>
      </c>
    </row>
    <row r="320" spans="1:12" ht="12.75">
      <c r="A320" s="36" t="s">
        <v>329</v>
      </c>
      <c r="B320" s="107" t="s">
        <v>113</v>
      </c>
      <c r="C320" s="36"/>
      <c r="D320" s="36"/>
      <c r="E320" s="36">
        <v>2008</v>
      </c>
      <c r="F320" s="37"/>
      <c r="G320" s="37"/>
      <c r="H320" s="37"/>
      <c r="I320" s="37"/>
      <c r="J320" s="37"/>
      <c r="K320" s="37"/>
      <c r="L320" s="37"/>
    </row>
    <row r="321" spans="1:12" ht="12.75">
      <c r="A321" s="34"/>
      <c r="B321" s="137" t="s">
        <v>114</v>
      </c>
      <c r="C321" s="34"/>
      <c r="D321" s="34"/>
      <c r="E321" s="34"/>
      <c r="F321" s="35"/>
      <c r="G321" s="35"/>
      <c r="H321" s="35"/>
      <c r="I321" s="35"/>
      <c r="J321" s="35">
        <v>116072.82</v>
      </c>
      <c r="K321" s="35">
        <v>54686.14</v>
      </c>
      <c r="L321" s="31">
        <f>K321/J321*100</f>
        <v>47.11364813915954</v>
      </c>
    </row>
    <row r="322" spans="1:12" ht="12.75">
      <c r="A322" s="36"/>
      <c r="B322" s="164" t="s">
        <v>18</v>
      </c>
      <c r="C322" s="44"/>
      <c r="D322" s="26">
        <v>6059</v>
      </c>
      <c r="E322" s="36"/>
      <c r="F322" s="37"/>
      <c r="G322" s="37"/>
      <c r="H322" s="37"/>
      <c r="I322" s="37"/>
      <c r="J322" s="55">
        <f>SUM(J324)</f>
        <v>129168.71</v>
      </c>
      <c r="K322" s="55">
        <f>SUM(K324)</f>
        <v>60856.1</v>
      </c>
      <c r="L322" s="27">
        <f>K322/J322*100</f>
        <v>47.113654692378674</v>
      </c>
    </row>
    <row r="323" spans="1:12" ht="12.75">
      <c r="A323" s="36" t="s">
        <v>331</v>
      </c>
      <c r="B323" s="107" t="s">
        <v>113</v>
      </c>
      <c r="C323" s="36"/>
      <c r="D323" s="36"/>
      <c r="E323" s="36">
        <v>2008</v>
      </c>
      <c r="F323" s="37"/>
      <c r="G323" s="37"/>
      <c r="H323" s="37"/>
      <c r="I323" s="37"/>
      <c r="J323" s="37"/>
      <c r="K323" s="37"/>
      <c r="L323" s="37"/>
    </row>
    <row r="324" spans="1:12" ht="13.5" thickBot="1">
      <c r="A324" s="34"/>
      <c r="B324" s="137" t="s">
        <v>114</v>
      </c>
      <c r="C324" s="34"/>
      <c r="D324" s="34"/>
      <c r="E324" s="34"/>
      <c r="F324" s="35"/>
      <c r="G324" s="35"/>
      <c r="H324" s="35"/>
      <c r="I324" s="35"/>
      <c r="J324" s="35">
        <v>129168.71</v>
      </c>
      <c r="K324" s="35">
        <v>60856.1</v>
      </c>
      <c r="L324" s="31">
        <f>K324/J324*100</f>
        <v>47.113654692378674</v>
      </c>
    </row>
    <row r="325" spans="1:12" ht="13.5" thickBot="1">
      <c r="A325" s="20"/>
      <c r="B325" s="180" t="s">
        <v>50</v>
      </c>
      <c r="C325" s="20">
        <v>921</v>
      </c>
      <c r="D325" s="20"/>
      <c r="E325" s="22"/>
      <c r="F325" s="22">
        <f aca="true" t="shared" si="9" ref="F325:K325">SUM(F326,F336)</f>
        <v>3201367</v>
      </c>
      <c r="G325" s="22">
        <f t="shared" si="9"/>
        <v>3182564</v>
      </c>
      <c r="H325" s="22">
        <f t="shared" si="9"/>
        <v>4572000</v>
      </c>
      <c r="I325" s="22">
        <f t="shared" si="9"/>
        <v>2950000</v>
      </c>
      <c r="J325" s="22">
        <f t="shared" si="9"/>
        <v>2950000</v>
      </c>
      <c r="K325" s="22">
        <f t="shared" si="9"/>
        <v>1750400.91</v>
      </c>
      <c r="L325" s="22">
        <f>K325/J325*100</f>
        <v>59.33562406779661</v>
      </c>
    </row>
    <row r="326" spans="1:12" s="28" customFormat="1" ht="13.5">
      <c r="A326" s="52"/>
      <c r="B326" s="174" t="s">
        <v>88</v>
      </c>
      <c r="C326" s="52">
        <v>92118</v>
      </c>
      <c r="D326" s="52"/>
      <c r="E326" s="52"/>
      <c r="F326" s="53"/>
      <c r="G326" s="53"/>
      <c r="H326" s="53"/>
      <c r="I326" s="53">
        <f>SUM(I329)</f>
        <v>120000</v>
      </c>
      <c r="J326" s="53">
        <f>SUM(J329)</f>
        <v>120000</v>
      </c>
      <c r="K326" s="53"/>
      <c r="L326" s="121"/>
    </row>
    <row r="327" spans="1:12" ht="12.75">
      <c r="A327" s="36"/>
      <c r="B327" s="62" t="s">
        <v>91</v>
      </c>
      <c r="C327" s="54"/>
      <c r="D327" s="54"/>
      <c r="E327" s="36"/>
      <c r="F327" s="37"/>
      <c r="G327" s="37"/>
      <c r="H327" s="37"/>
      <c r="I327" s="37"/>
      <c r="J327" s="37"/>
      <c r="K327" s="37"/>
      <c r="L327" s="37"/>
    </row>
    <row r="328" spans="1:12" s="25" customFormat="1" ht="13.5">
      <c r="A328" s="29"/>
      <c r="B328" s="181" t="s">
        <v>51</v>
      </c>
      <c r="C328" s="56"/>
      <c r="D328" s="56"/>
      <c r="E328" s="29"/>
      <c r="F328" s="31"/>
      <c r="G328" s="31"/>
      <c r="H328" s="31"/>
      <c r="I328" s="31"/>
      <c r="J328" s="31"/>
      <c r="K328" s="31"/>
      <c r="L328" s="92"/>
    </row>
    <row r="329" spans="1:12" s="28" customFormat="1" ht="12.75">
      <c r="A329" s="29"/>
      <c r="B329" s="181" t="s">
        <v>52</v>
      </c>
      <c r="C329" s="56"/>
      <c r="D329" s="56">
        <v>6220</v>
      </c>
      <c r="E329" s="29"/>
      <c r="F329" s="31"/>
      <c r="G329" s="31"/>
      <c r="H329" s="31"/>
      <c r="I329" s="57">
        <f>SUM(I330)</f>
        <v>120000</v>
      </c>
      <c r="J329" s="57">
        <f>SUM(J330)</f>
        <v>120000</v>
      </c>
      <c r="K329" s="57"/>
      <c r="L329" s="48"/>
    </row>
    <row r="330" spans="1:12" ht="12.75">
      <c r="A330" s="101"/>
      <c r="B330" s="199" t="s">
        <v>213</v>
      </c>
      <c r="C330" s="101"/>
      <c r="D330" s="101"/>
      <c r="E330" s="101"/>
      <c r="F330" s="102"/>
      <c r="G330" s="102"/>
      <c r="H330" s="102"/>
      <c r="I330" s="102">
        <f>SUM(I332)</f>
        <v>120000</v>
      </c>
      <c r="J330" s="102">
        <f>SUM(J335)</f>
        <v>120000</v>
      </c>
      <c r="K330" s="102"/>
      <c r="L330" s="45"/>
    </row>
    <row r="331" spans="1:12" s="5" customFormat="1" ht="12.75">
      <c r="A331" s="36" t="s">
        <v>332</v>
      </c>
      <c r="B331" s="171" t="s">
        <v>190</v>
      </c>
      <c r="C331" s="36"/>
      <c r="D331" s="36"/>
      <c r="E331" s="36">
        <v>2010</v>
      </c>
      <c r="F331" s="37"/>
      <c r="G331" s="37"/>
      <c r="H331" s="37"/>
      <c r="I331" s="37"/>
      <c r="J331" s="37"/>
      <c r="K331" s="37"/>
      <c r="L331" s="103"/>
    </row>
    <row r="332" spans="1:12" s="5" customFormat="1" ht="12.75">
      <c r="A332" s="29"/>
      <c r="B332" s="178" t="s">
        <v>199</v>
      </c>
      <c r="C332" s="29"/>
      <c r="D332" s="29"/>
      <c r="E332" s="29"/>
      <c r="F332" s="31"/>
      <c r="G332" s="31"/>
      <c r="H332" s="31"/>
      <c r="I332" s="31">
        <v>120000</v>
      </c>
      <c r="J332" s="31"/>
      <c r="K332" s="31"/>
      <c r="L332" s="126"/>
    </row>
    <row r="333" spans="1:12" s="5" customFormat="1" ht="12.75">
      <c r="A333" s="36" t="s">
        <v>333</v>
      </c>
      <c r="B333" s="165" t="s">
        <v>330</v>
      </c>
      <c r="C333" s="36"/>
      <c r="D333" s="36"/>
      <c r="E333" s="36">
        <v>2010</v>
      </c>
      <c r="F333" s="37"/>
      <c r="G333" s="37"/>
      <c r="H333" s="37"/>
      <c r="I333" s="37"/>
      <c r="J333" s="37"/>
      <c r="K333" s="37"/>
      <c r="L333" s="103"/>
    </row>
    <row r="334" spans="1:12" s="5" customFormat="1" ht="12.75">
      <c r="A334" s="29"/>
      <c r="B334" s="178" t="s">
        <v>338</v>
      </c>
      <c r="C334" s="29"/>
      <c r="D334" s="29"/>
      <c r="E334" s="29"/>
      <c r="F334" s="31"/>
      <c r="G334" s="31"/>
      <c r="H334" s="31"/>
      <c r="I334" s="31"/>
      <c r="J334" s="31"/>
      <c r="K334" s="31"/>
      <c r="L334" s="126"/>
    </row>
    <row r="335" spans="1:12" s="5" customFormat="1" ht="12.75">
      <c r="A335" s="34"/>
      <c r="B335" s="166" t="s">
        <v>339</v>
      </c>
      <c r="C335" s="34"/>
      <c r="D335" s="34"/>
      <c r="E335" s="34"/>
      <c r="F335" s="35"/>
      <c r="G335" s="35"/>
      <c r="H335" s="35"/>
      <c r="I335" s="35"/>
      <c r="J335" s="35">
        <v>120000</v>
      </c>
      <c r="K335" s="35"/>
      <c r="L335" s="104"/>
    </row>
    <row r="336" spans="1:12" s="25" customFormat="1" ht="13.5">
      <c r="A336" s="52"/>
      <c r="B336" s="174" t="s">
        <v>53</v>
      </c>
      <c r="C336" s="52">
        <v>92120</v>
      </c>
      <c r="D336" s="52"/>
      <c r="E336" s="52"/>
      <c r="F336" s="53">
        <f aca="true" t="shared" si="10" ref="F336:K336">SUM(F337)</f>
        <v>3201367</v>
      </c>
      <c r="G336" s="53">
        <f t="shared" si="10"/>
        <v>3182564</v>
      </c>
      <c r="H336" s="53">
        <f t="shared" si="10"/>
        <v>4572000</v>
      </c>
      <c r="I336" s="53">
        <f t="shared" si="10"/>
        <v>2830000</v>
      </c>
      <c r="J336" s="53">
        <f t="shared" si="10"/>
        <v>2830000</v>
      </c>
      <c r="K336" s="53">
        <f t="shared" si="10"/>
        <v>1750400.91</v>
      </c>
      <c r="L336" s="53">
        <f aca="true" t="shared" si="11" ref="L336:L341">K336/J336*100</f>
        <v>61.851622261484096</v>
      </c>
    </row>
    <row r="337" spans="1:12" ht="12.75">
      <c r="A337" s="26"/>
      <c r="B337" s="164" t="s">
        <v>18</v>
      </c>
      <c r="C337" s="26"/>
      <c r="D337" s="26">
        <v>6050</v>
      </c>
      <c r="E337" s="26"/>
      <c r="F337" s="27">
        <f>SUM(,F338)</f>
        <v>3201367</v>
      </c>
      <c r="G337" s="27">
        <f>SUM(G338)</f>
        <v>3182564</v>
      </c>
      <c r="H337" s="27">
        <f>SUM(,H338)</f>
        <v>4572000</v>
      </c>
      <c r="I337" s="27">
        <f>SUM(I338)</f>
        <v>2830000</v>
      </c>
      <c r="J337" s="27">
        <f>SUM(J338)</f>
        <v>2830000</v>
      </c>
      <c r="K337" s="27">
        <f>SUM(K338)</f>
        <v>1750400.91</v>
      </c>
      <c r="L337" s="27">
        <f t="shared" si="11"/>
        <v>61.851622261484096</v>
      </c>
    </row>
    <row r="338" spans="1:12" ht="13.5" thickBot="1">
      <c r="A338" s="36" t="s">
        <v>334</v>
      </c>
      <c r="B338" s="165" t="s">
        <v>90</v>
      </c>
      <c r="C338" s="36"/>
      <c r="D338" s="36"/>
      <c r="E338" s="36">
        <v>1979</v>
      </c>
      <c r="F338" s="37">
        <v>3201367</v>
      </c>
      <c r="G338" s="37">
        <v>3182564</v>
      </c>
      <c r="H338" s="37">
        <f>4500000+362000-150000-140000</f>
        <v>4572000</v>
      </c>
      <c r="I338" s="37">
        <f>3000000+330000-500000</f>
        <v>2830000</v>
      </c>
      <c r="J338" s="37">
        <f>3000000+330000-500000</f>
        <v>2830000</v>
      </c>
      <c r="K338" s="37">
        <v>1750400.91</v>
      </c>
      <c r="L338" s="71">
        <f t="shared" si="11"/>
        <v>61.851622261484096</v>
      </c>
    </row>
    <row r="339" spans="1:12" ht="13.5" thickBot="1">
      <c r="A339" s="20"/>
      <c r="B339" s="180" t="s">
        <v>58</v>
      </c>
      <c r="C339" s="20">
        <v>926</v>
      </c>
      <c r="D339" s="20"/>
      <c r="E339" s="20"/>
      <c r="F339" s="22"/>
      <c r="G339" s="22">
        <f>SUM(G340,)</f>
        <v>122732</v>
      </c>
      <c r="H339" s="22">
        <f>SUM(H340,)</f>
        <v>1042036</v>
      </c>
      <c r="I339" s="22">
        <f>SUM(I340,)</f>
        <v>5659800</v>
      </c>
      <c r="J339" s="22">
        <f>SUM(J340,)</f>
        <v>5458692</v>
      </c>
      <c r="K339" s="22">
        <f>SUM(K340,)</f>
        <v>12745.84</v>
      </c>
      <c r="L339" s="22">
        <f t="shared" si="11"/>
        <v>0.23349622949966767</v>
      </c>
    </row>
    <row r="340" spans="1:12" ht="13.5">
      <c r="A340" s="52"/>
      <c r="B340" s="174" t="s">
        <v>54</v>
      </c>
      <c r="C340" s="52">
        <v>92601</v>
      </c>
      <c r="D340" s="52"/>
      <c r="E340" s="52"/>
      <c r="F340" s="53"/>
      <c r="G340" s="53">
        <f>SUM(G341)</f>
        <v>122732</v>
      </c>
      <c r="H340" s="53">
        <f>SUM(H341)</f>
        <v>1042036</v>
      </c>
      <c r="I340" s="53">
        <f>SUM(I341,I352)</f>
        <v>5659800</v>
      </c>
      <c r="J340" s="53">
        <f>SUM(J341,J352)</f>
        <v>5458692</v>
      </c>
      <c r="K340" s="53">
        <f>SUM(K341,K352)</f>
        <v>12745.84</v>
      </c>
      <c r="L340" s="53">
        <f t="shared" si="11"/>
        <v>0.23349622949966767</v>
      </c>
    </row>
    <row r="341" spans="1:12" ht="13.5">
      <c r="A341" s="52"/>
      <c r="B341" s="164" t="s">
        <v>18</v>
      </c>
      <c r="C341" s="44"/>
      <c r="D341" s="26">
        <v>6050</v>
      </c>
      <c r="E341" s="52"/>
      <c r="F341" s="27"/>
      <c r="G341" s="27">
        <f>SUM(G343:G346)</f>
        <v>122732</v>
      </c>
      <c r="H341" s="27">
        <f>SUM(H342:H345)</f>
        <v>1042036</v>
      </c>
      <c r="I341" s="27">
        <f>SUM(I343,I345,I346,)</f>
        <v>5609800</v>
      </c>
      <c r="J341" s="27">
        <f>SUM(J343,J345,J346,)</f>
        <v>5458692</v>
      </c>
      <c r="K341" s="27">
        <f>SUM(K343,K345,K346,)</f>
        <v>12745.84</v>
      </c>
      <c r="L341" s="27">
        <f t="shared" si="11"/>
        <v>0.23349622949966767</v>
      </c>
    </row>
    <row r="342" spans="1:12" ht="12.75">
      <c r="A342" s="36" t="s">
        <v>335</v>
      </c>
      <c r="B342" s="165" t="s">
        <v>99</v>
      </c>
      <c r="C342" s="36"/>
      <c r="D342" s="36"/>
      <c r="E342" s="36"/>
      <c r="F342" s="37"/>
      <c r="G342" s="37"/>
      <c r="H342" s="37"/>
      <c r="I342" s="37"/>
      <c r="J342" s="37"/>
      <c r="K342" s="37"/>
      <c r="L342" s="37"/>
    </row>
    <row r="343" spans="1:12" ht="12.75">
      <c r="A343" s="34"/>
      <c r="B343" s="166" t="s">
        <v>100</v>
      </c>
      <c r="C343" s="34"/>
      <c r="D343" s="34"/>
      <c r="E343" s="34">
        <v>2008</v>
      </c>
      <c r="F343" s="35"/>
      <c r="G343" s="35">
        <v>35380</v>
      </c>
      <c r="H343" s="35">
        <f>4000000+46000-1174664-465000-350000-2024800</f>
        <v>31536</v>
      </c>
      <c r="I343" s="35">
        <f>3000000+164000</f>
        <v>3164000</v>
      </c>
      <c r="J343" s="35">
        <f>3000000+164000-551108</f>
        <v>2612892</v>
      </c>
      <c r="K343" s="35">
        <v>3660</v>
      </c>
      <c r="L343" s="31">
        <f>K343/J343*100</f>
        <v>0.14007467587638525</v>
      </c>
    </row>
    <row r="344" spans="1:12" s="25" customFormat="1" ht="13.5">
      <c r="A344" s="36" t="s">
        <v>336</v>
      </c>
      <c r="B344" s="107" t="s">
        <v>109</v>
      </c>
      <c r="C344" s="36"/>
      <c r="D344" s="36"/>
      <c r="E344" s="36"/>
      <c r="F344" s="37"/>
      <c r="G344" s="37"/>
      <c r="H344" s="37"/>
      <c r="I344" s="37"/>
      <c r="J344" s="37"/>
      <c r="K344" s="37"/>
      <c r="L344" s="94"/>
    </row>
    <row r="345" spans="1:12" ht="12.75">
      <c r="A345" s="34"/>
      <c r="B345" s="137" t="s">
        <v>110</v>
      </c>
      <c r="C345" s="34"/>
      <c r="D345" s="34"/>
      <c r="E345" s="34">
        <v>2008</v>
      </c>
      <c r="F345" s="35"/>
      <c r="G345" s="35">
        <v>70516</v>
      </c>
      <c r="H345" s="35">
        <f>1000000+24000-13500</f>
        <v>1010500</v>
      </c>
      <c r="I345" s="35">
        <f>2330000+85000</f>
        <v>2415000</v>
      </c>
      <c r="J345" s="35">
        <f>2330000+85000+400000</f>
        <v>2815000</v>
      </c>
      <c r="K345" s="35">
        <v>9085.84</v>
      </c>
      <c r="L345" s="31">
        <f>K345/J345*100</f>
        <v>0.3227651865008881</v>
      </c>
    </row>
    <row r="346" spans="1:12" ht="12.75">
      <c r="A346" s="29" t="s">
        <v>343</v>
      </c>
      <c r="B346" s="170" t="s">
        <v>191</v>
      </c>
      <c r="C346" s="29"/>
      <c r="D346" s="29"/>
      <c r="E346" s="29">
        <v>2008</v>
      </c>
      <c r="F346" s="31"/>
      <c r="G346" s="31">
        <v>16836</v>
      </c>
      <c r="H346" s="31"/>
      <c r="I346" s="31">
        <f>30000+800</f>
        <v>30800</v>
      </c>
      <c r="J346" s="31">
        <f>30000+800</f>
        <v>30800</v>
      </c>
      <c r="K346" s="31"/>
      <c r="L346" s="37"/>
    </row>
    <row r="347" spans="1:12" ht="12.75">
      <c r="A347" s="151"/>
      <c r="B347" s="200"/>
      <c r="C347" s="151"/>
      <c r="D347" s="151"/>
      <c r="E347" s="151"/>
      <c r="F347" s="152"/>
      <c r="G347" s="152"/>
      <c r="H347" s="152"/>
      <c r="I347" s="152"/>
      <c r="J347" s="152"/>
      <c r="K347" s="152"/>
      <c r="L347" s="152"/>
    </row>
    <row r="348" spans="1:12" ht="12.75">
      <c r="A348" s="6"/>
      <c r="B348" s="201"/>
      <c r="C348" s="6"/>
      <c r="D348" s="6"/>
      <c r="E348" s="6"/>
      <c r="F348" s="9"/>
      <c r="G348" s="9"/>
      <c r="H348" s="9"/>
      <c r="I348" s="9"/>
      <c r="J348" s="9"/>
      <c r="K348" s="9"/>
      <c r="L348" s="9"/>
    </row>
    <row r="349" spans="1:12" ht="12.75">
      <c r="A349" s="6"/>
      <c r="B349" s="201"/>
      <c r="C349" s="6"/>
      <c r="D349" s="6"/>
      <c r="E349" s="6"/>
      <c r="F349" s="9"/>
      <c r="G349" s="9"/>
      <c r="H349" s="9"/>
      <c r="I349" s="9"/>
      <c r="J349" s="9"/>
      <c r="K349" s="9"/>
      <c r="L349" s="9"/>
    </row>
    <row r="350" spans="1:12" ht="13.5" thickBot="1">
      <c r="A350" s="216" t="s">
        <v>356</v>
      </c>
      <c r="B350" s="216"/>
      <c r="C350" s="216"/>
      <c r="D350" s="216"/>
      <c r="E350" s="216"/>
      <c r="F350" s="216"/>
      <c r="G350" s="216"/>
      <c r="H350" s="216"/>
      <c r="I350" s="216"/>
      <c r="J350" s="216"/>
      <c r="K350" s="216"/>
      <c r="L350" s="216"/>
    </row>
    <row r="351" spans="1:12" s="5" customFormat="1" ht="13.5" thickBot="1">
      <c r="A351" s="17" t="s">
        <v>8</v>
      </c>
      <c r="B351" s="17" t="s">
        <v>9</v>
      </c>
      <c r="C351" s="17" t="s">
        <v>10</v>
      </c>
      <c r="D351" s="17" t="s">
        <v>11</v>
      </c>
      <c r="E351" s="17" t="s">
        <v>12</v>
      </c>
      <c r="F351" s="18" t="s">
        <v>13</v>
      </c>
      <c r="G351" s="19" t="s">
        <v>14</v>
      </c>
      <c r="H351" s="19" t="s">
        <v>15</v>
      </c>
      <c r="I351" s="19" t="s">
        <v>129</v>
      </c>
      <c r="J351" s="19" t="s">
        <v>256</v>
      </c>
      <c r="K351" s="19" t="s">
        <v>257</v>
      </c>
      <c r="L351" s="19" t="s">
        <v>255</v>
      </c>
    </row>
    <row r="352" spans="1:12" ht="12.75">
      <c r="A352" s="36"/>
      <c r="B352" s="62" t="s">
        <v>91</v>
      </c>
      <c r="C352" s="54"/>
      <c r="D352" s="54"/>
      <c r="E352" s="36"/>
      <c r="F352" s="37"/>
      <c r="G352" s="37"/>
      <c r="H352" s="37"/>
      <c r="I352" s="37">
        <f>SUM(I355)</f>
        <v>50000</v>
      </c>
      <c r="J352" s="37"/>
      <c r="K352" s="37"/>
      <c r="L352" s="37"/>
    </row>
    <row r="353" spans="1:12" ht="12.75">
      <c r="A353" s="29"/>
      <c r="B353" s="181" t="s">
        <v>247</v>
      </c>
      <c r="C353" s="56"/>
      <c r="D353" s="56"/>
      <c r="E353" s="29"/>
      <c r="F353" s="31"/>
      <c r="G353" s="31"/>
      <c r="H353" s="31"/>
      <c r="I353" s="31"/>
      <c r="J353" s="31"/>
      <c r="K353" s="31"/>
      <c r="L353" s="31"/>
    </row>
    <row r="354" spans="1:12" ht="12.75">
      <c r="A354" s="34"/>
      <c r="B354" s="194" t="s">
        <v>246</v>
      </c>
      <c r="C354" s="47"/>
      <c r="D354" s="47">
        <v>6230</v>
      </c>
      <c r="E354" s="34"/>
      <c r="F354" s="35"/>
      <c r="G354" s="35"/>
      <c r="H354" s="35"/>
      <c r="I354" s="35"/>
      <c r="J354" s="35"/>
      <c r="K354" s="35"/>
      <c r="L354" s="35"/>
    </row>
    <row r="355" spans="1:12" ht="13.5" thickBot="1">
      <c r="A355" s="70" t="s">
        <v>344</v>
      </c>
      <c r="B355" s="202" t="s">
        <v>244</v>
      </c>
      <c r="C355" s="70"/>
      <c r="D355" s="70"/>
      <c r="E355" s="70">
        <v>2010</v>
      </c>
      <c r="F355" s="71"/>
      <c r="G355" s="71"/>
      <c r="H355" s="71"/>
      <c r="I355" s="71">
        <v>50000</v>
      </c>
      <c r="J355" s="71"/>
      <c r="K355" s="71"/>
      <c r="L355" s="37"/>
    </row>
    <row r="356" spans="1:12" ht="13.5" thickBot="1">
      <c r="A356" s="17"/>
      <c r="B356" s="203"/>
      <c r="C356" s="17"/>
      <c r="D356" s="17"/>
      <c r="E356" s="17"/>
      <c r="F356" s="109">
        <f>SUM(F9,F119,F166,F182,F195,F233,F243,F275,F292,F325,F339,)</f>
        <v>8644039</v>
      </c>
      <c r="G356" s="109">
        <f>SUM(G9,G119,G166,G182,G195,G233,G243,G275,G292,G325,G339,)</f>
        <v>19089815</v>
      </c>
      <c r="H356" s="109">
        <f>SUM(H9,H119,H166,H182,H195,H233,H243,H275,H292,H325,H339,)</f>
        <v>45441076</v>
      </c>
      <c r="I356" s="109">
        <f>SUM(I9,I119,I166,I182,I195,I233,I243,I275,I292,I325,I339,)</f>
        <v>66017652.51</v>
      </c>
      <c r="J356" s="109">
        <f>SUM(J9,J106,J119,J166,J182,J195,J233,J243,J275,J292,J325,J339,)</f>
        <v>69289375.92999999</v>
      </c>
      <c r="K356" s="109">
        <f>SUM(K9,K106,K119,K166,K182,K195,K233,K243,K275,K292,K325,K339,)</f>
        <v>21201717.71</v>
      </c>
      <c r="L356" s="128">
        <f>K356/J356*100</f>
        <v>30.59880021349761</v>
      </c>
    </row>
    <row r="357" spans="1:12" ht="12.75">
      <c r="A357" s="138"/>
      <c r="B357" s="204"/>
      <c r="C357" s="138"/>
      <c r="D357" s="138"/>
      <c r="E357" s="138"/>
      <c r="F357" s="139"/>
      <c r="G357" s="139"/>
      <c r="H357" s="139"/>
      <c r="I357" s="139"/>
      <c r="J357" s="139"/>
      <c r="K357" s="139"/>
      <c r="L357" s="140"/>
    </row>
    <row r="358" spans="1:12" ht="12.75">
      <c r="A358" s="142"/>
      <c r="B358" s="141" t="s">
        <v>345</v>
      </c>
      <c r="C358" s="142"/>
      <c r="D358" s="142"/>
      <c r="E358" s="142"/>
      <c r="F358" s="143"/>
      <c r="G358" s="143"/>
      <c r="H358" s="144"/>
      <c r="I358" s="210" t="s">
        <v>346</v>
      </c>
      <c r="J358" s="210"/>
      <c r="K358" s="145"/>
      <c r="L358" s="145"/>
    </row>
    <row r="359" spans="1:12" ht="12.75">
      <c r="A359" s="142"/>
      <c r="B359" s="141"/>
      <c r="C359" s="142"/>
      <c r="D359" s="142"/>
      <c r="E359" s="143"/>
      <c r="F359" s="146"/>
      <c r="G359" s="146"/>
      <c r="H359" s="144"/>
      <c r="I359" s="145"/>
      <c r="J359" s="145"/>
      <c r="K359" s="145"/>
      <c r="L359" s="145"/>
    </row>
    <row r="360" spans="1:12" ht="12.75">
      <c r="A360" s="142"/>
      <c r="B360" s="141" t="s">
        <v>347</v>
      </c>
      <c r="C360" s="142"/>
      <c r="D360" s="142"/>
      <c r="E360" s="142"/>
      <c r="F360" s="147"/>
      <c r="G360" s="143"/>
      <c r="H360" s="144"/>
      <c r="I360" s="210" t="s">
        <v>348</v>
      </c>
      <c r="J360" s="210"/>
      <c r="K360" s="148"/>
      <c r="L360" s="145"/>
    </row>
    <row r="361" spans="1:12" ht="12.75">
      <c r="A361" s="138"/>
      <c r="B361" s="204"/>
      <c r="C361" s="138"/>
      <c r="D361" s="138"/>
      <c r="E361" s="138"/>
      <c r="F361" s="139"/>
      <c r="G361" s="139"/>
      <c r="H361" s="139"/>
      <c r="I361" s="139"/>
      <c r="J361" s="139"/>
      <c r="K361" s="139"/>
      <c r="L361" s="140"/>
    </row>
    <row r="362" spans="1:12" ht="12.75">
      <c r="A362" s="138"/>
      <c r="B362" s="204"/>
      <c r="C362" s="138"/>
      <c r="D362" s="138"/>
      <c r="E362" s="138"/>
      <c r="F362" s="139"/>
      <c r="G362" s="139"/>
      <c r="H362" s="139"/>
      <c r="I362" s="139"/>
      <c r="J362" s="139"/>
      <c r="K362" s="139"/>
      <c r="L362" s="140"/>
    </row>
    <row r="363" spans="1:12" ht="12.75">
      <c r="A363" s="138"/>
      <c r="B363" s="204"/>
      <c r="C363" s="138"/>
      <c r="D363" s="138"/>
      <c r="E363" s="138"/>
      <c r="F363" s="139"/>
      <c r="G363" s="139"/>
      <c r="H363" s="139"/>
      <c r="I363" s="139"/>
      <c r="J363" s="139"/>
      <c r="K363" s="139"/>
      <c r="L363" s="140"/>
    </row>
    <row r="364" spans="1:12" ht="12.75">
      <c r="A364" s="138"/>
      <c r="B364" s="204"/>
      <c r="C364" s="138"/>
      <c r="D364" s="138"/>
      <c r="E364" s="138"/>
      <c r="F364" s="139"/>
      <c r="G364" s="139"/>
      <c r="H364" s="139"/>
      <c r="I364" s="139"/>
      <c r="J364" s="139"/>
      <c r="K364" s="139"/>
      <c r="L364" s="140"/>
    </row>
    <row r="365" spans="1:12" ht="12.75">
      <c r="A365" s="138"/>
      <c r="B365" s="204"/>
      <c r="C365" s="138"/>
      <c r="D365" s="138"/>
      <c r="E365" s="138"/>
      <c r="F365" s="139"/>
      <c r="G365" s="139"/>
      <c r="H365" s="139"/>
      <c r="I365" s="139"/>
      <c r="J365" s="139"/>
      <c r="K365" s="139"/>
      <c r="L365" s="140"/>
    </row>
    <row r="366" spans="1:12" ht="12.75">
      <c r="A366" s="142"/>
      <c r="B366" s="2"/>
      <c r="C366" s="6"/>
      <c r="D366" s="6"/>
      <c r="E366" s="110"/>
      <c r="F366" s="111"/>
      <c r="G366" s="111"/>
      <c r="H366" s="8"/>
      <c r="I366" s="9"/>
      <c r="J366" s="7"/>
      <c r="K366" s="9"/>
      <c r="L366" s="9"/>
    </row>
    <row r="367" spans="1:12" ht="12.75">
      <c r="A367" s="6"/>
      <c r="B367" s="2"/>
      <c r="C367" s="6"/>
      <c r="D367" s="6"/>
      <c r="E367" s="6"/>
      <c r="G367" s="110"/>
      <c r="H367" s="8"/>
      <c r="I367" s="149"/>
      <c r="J367" s="122"/>
      <c r="K367" s="122"/>
      <c r="L367" s="9"/>
    </row>
    <row r="368" spans="1:11" ht="12.75">
      <c r="A368" s="6"/>
      <c r="B368" s="2"/>
      <c r="C368" s="6"/>
      <c r="D368" s="6"/>
      <c r="E368" s="110"/>
      <c r="F368" s="111"/>
      <c r="G368" s="2"/>
      <c r="H368" s="9"/>
      <c r="I368" s="9"/>
      <c r="J368" s="9"/>
      <c r="K368" s="9"/>
    </row>
    <row r="369" spans="1:11" ht="12.75">
      <c r="A369" s="6"/>
      <c r="B369" s="2"/>
      <c r="C369" s="6"/>
      <c r="D369" s="6"/>
      <c r="E369" s="6"/>
      <c r="F369" s="110"/>
      <c r="G369" s="2"/>
      <c r="H369" s="9"/>
      <c r="I369" s="9"/>
      <c r="J369" s="9"/>
      <c r="K369" s="9"/>
    </row>
  </sheetData>
  <sheetProtection/>
  <mergeCells count="12">
    <mergeCell ref="A301:L301"/>
    <mergeCell ref="A350:L350"/>
    <mergeCell ref="I360:J360"/>
    <mergeCell ref="A3:L3"/>
    <mergeCell ref="A4:L4"/>
    <mergeCell ref="F6:H6"/>
    <mergeCell ref="I358:J358"/>
    <mergeCell ref="A51:L51"/>
    <mergeCell ref="A101:L101"/>
    <mergeCell ref="A151:L151"/>
    <mergeCell ref="A202:L202"/>
    <mergeCell ref="A252:L252"/>
  </mergeCells>
  <printOptions horizontalCentered="1"/>
  <pageMargins left="0" right="0" top="0.2362204724409449" bottom="0" header="0.11811023622047245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 inwestycji i zakupów inwestycyjnych</dc:title>
  <dc:subject>budżet 2010</dc:subject>
  <dc:creator>Krystyna Zabielna - Spała</dc:creator>
  <cp:keywords/>
  <dc:description/>
  <cp:lastModifiedBy>msoltys</cp:lastModifiedBy>
  <cp:lastPrinted>2010-08-09T11:23:31Z</cp:lastPrinted>
  <dcterms:created xsi:type="dcterms:W3CDTF">2006-10-31T19:39:31Z</dcterms:created>
  <dcterms:modified xsi:type="dcterms:W3CDTF">2010-09-10T10:18:04Z</dcterms:modified>
  <cp:category/>
  <cp:version/>
  <cp:contentType/>
  <cp:contentStatus/>
</cp:coreProperties>
</file>